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30" windowHeight="7890" tabRatio="942" activeTab="0"/>
  </bookViews>
  <sheets>
    <sheet name="FY13 to FY12 Comparison" sheetId="1" r:id="rId1"/>
    <sheet name="DA" sheetId="2" r:id="rId2"/>
    <sheet name="DCA" sheetId="3" r:id="rId3"/>
    <sheet name="DCHS" sheetId="4" r:id="rId4"/>
    <sheet name="DCJ" sheetId="5" r:id="rId5"/>
    <sheet name="DCM" sheetId="6" r:id="rId6"/>
    <sheet name="DCS" sheetId="7" r:id="rId7"/>
    <sheet name="DOH" sheetId="8" r:id="rId8"/>
    <sheet name="LIB" sheetId="9" r:id="rId9"/>
    <sheet name="MCSO" sheetId="10" r:id="rId10"/>
    <sheet name="NonDept" sheetId="11" r:id="rId11"/>
  </sheets>
  <definedNames>
    <definedName name="_xlnm.Print_Area" localSheetId="1">'DA'!$A$1:$N$26</definedName>
    <definedName name="_xlnm.Print_Area" localSheetId="2">'DCA'!$A$1:$N$23</definedName>
    <definedName name="_xlnm.Print_Area" localSheetId="3">'DCHS'!$A$1:$N$52</definedName>
    <definedName name="_xlnm.Print_Area" localSheetId="4">'DCJ'!$A$1:$N$45</definedName>
    <definedName name="_xlnm.Print_Area" localSheetId="5">'DCM'!$A$1:$N$31</definedName>
    <definedName name="_xlnm.Print_Area" localSheetId="6">'DCS'!$A$1:$N$21</definedName>
    <definedName name="_xlnm.Print_Area" localSheetId="7">'DOH'!$A$1:$N$92</definedName>
    <definedName name="_xlnm.Print_Area" localSheetId="0">'FY13 to FY12 Comparison'!$A$1:$R$49</definedName>
    <definedName name="_xlnm.Print_Area" localSheetId="8">'LIB'!$A$1:$N$14</definedName>
    <definedName name="_xlnm.Print_Area" localSheetId="9">'MCSO'!$A$1:$N$32</definedName>
    <definedName name="_xlnm.Print_Area" localSheetId="10">'NonDept'!$A$1:$N$23</definedName>
    <definedName name="_xlnm.Print_Titles" localSheetId="7">'DOH'!$1:$5</definedName>
  </definedNames>
  <calcPr calcMode="manual" fullCalcOnLoad="1"/>
</workbook>
</file>

<file path=xl/comments1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8"/>
            <rFont val="Tahoma"/>
            <family val="0"/>
          </rPr>
          <t>aortiz:</t>
        </r>
        <r>
          <rPr>
            <sz val="8"/>
            <rFont val="Tahoma"/>
            <family val="0"/>
          </rPr>
          <t xml:space="preserve">
Allocation equals total exp less projected external revenues. (charges for svcs &amp;/or sales to the public).
Excluded constraint as it's been previously collected and not spent and siting in BWC 
</t>
        </r>
      </text>
    </comment>
  </commentList>
</comments>
</file>

<file path=xl/sharedStrings.xml><?xml version="1.0" encoding="utf-8"?>
<sst xmlns="http://schemas.openxmlformats.org/spreadsheetml/2006/main" count="887" uniqueCount="618">
  <si>
    <t>Records Center Activities</t>
  </si>
  <si>
    <t>Budget in 60460 for Records Services</t>
  </si>
  <si>
    <t>FY 2010-2011</t>
  </si>
  <si>
    <t>(as of 9/20/2011)</t>
  </si>
  <si>
    <t>Record</t>
  </si>
  <si>
    <t xml:space="preserve">% of </t>
  </si>
  <si>
    <t>Items</t>
  </si>
  <si>
    <t>Average</t>
  </si>
  <si>
    <t>Agency</t>
  </si>
  <si>
    <t>AGCCD</t>
  </si>
  <si>
    <t>Out</t>
  </si>
  <si>
    <t>In</t>
  </si>
  <si>
    <t>Actions</t>
  </si>
  <si>
    <t>Total</t>
  </si>
  <si>
    <t>Accessioned</t>
  </si>
  <si>
    <t>Stored</t>
  </si>
  <si>
    <t>of %'s</t>
  </si>
  <si>
    <t>Department of County Assets</t>
  </si>
  <si>
    <t>Contracts, Procurements &amp; Strategic Sourcing</t>
  </si>
  <si>
    <t>558</t>
  </si>
  <si>
    <t>F&amp;PM/Administration</t>
  </si>
  <si>
    <t>005, 417</t>
  </si>
  <si>
    <t>F&amp;PM/Contracts &amp; Procurement</t>
  </si>
  <si>
    <t>418</t>
  </si>
  <si>
    <t>F&amp;PM/Fiscal</t>
  </si>
  <si>
    <t>419</t>
  </si>
  <si>
    <t>F&amp;PM/Operations &amp; Maintenance</t>
  </si>
  <si>
    <t>252</t>
  </si>
  <si>
    <t>F&amp;PM/Planning</t>
  </si>
  <si>
    <t>410</t>
  </si>
  <si>
    <t>F&amp;PM/Property Management</t>
  </si>
  <si>
    <t>420</t>
  </si>
  <si>
    <t>Finance &amp; Administration</t>
  </si>
  <si>
    <t>556</t>
  </si>
  <si>
    <t>Fleet Operations &amp; Electronic Services</t>
  </si>
  <si>
    <t>187, 304</t>
  </si>
  <si>
    <t>Human Resources - DCA/DCM/Non-D</t>
  </si>
  <si>
    <t>018</t>
  </si>
  <si>
    <t>IT/Administration</t>
  </si>
  <si>
    <t>030</t>
  </si>
  <si>
    <t>IT/Applications/Data &amp; Reporting</t>
  </si>
  <si>
    <t>549</t>
  </si>
  <si>
    <t>IT/Applications/Gen'l Govt. &amp; Open Source</t>
  </si>
  <si>
    <t>547</t>
  </si>
  <si>
    <t>IT/Infrastructure/Networking</t>
  </si>
  <si>
    <t>031</t>
  </si>
  <si>
    <t>IT/Infrastructure/Security</t>
  </si>
  <si>
    <t>525</t>
  </si>
  <si>
    <t>IT/SAP Support</t>
  </si>
  <si>
    <t>408</t>
  </si>
  <si>
    <t>DCA Total</t>
  </si>
  <si>
    <t>Department of County Management</t>
  </si>
  <si>
    <t>Budget Office</t>
  </si>
  <si>
    <t>176, 259</t>
  </si>
  <si>
    <t>DART/Administration</t>
  </si>
  <si>
    <t>004, 122</t>
  </si>
  <si>
    <t>DART/Application Support</t>
  </si>
  <si>
    <t>226</t>
  </si>
  <si>
    <t>DART/Customer Service, Recording &amp; Ownership</t>
  </si>
  <si>
    <t>010</t>
  </si>
  <si>
    <t>DART/Customer Service/GIS, Cartography &amp; Parcel Mgmt</t>
  </si>
  <si>
    <t>015</t>
  </si>
  <si>
    <t>DART/Customer Service/Recording</t>
  </si>
  <si>
    <t>009</t>
  </si>
  <si>
    <t>DART/Property Valuation/Appraisal</t>
  </si>
  <si>
    <t>007</t>
  </si>
  <si>
    <t>DART/Special Programs/BOPTA</t>
  </si>
  <si>
    <t>013, 106</t>
  </si>
  <si>
    <t>DART/Special Programs/Exemptions</t>
  </si>
  <si>
    <t>008</t>
  </si>
  <si>
    <t>DART/Tax Operations</t>
  </si>
  <si>
    <t>011</t>
  </si>
  <si>
    <t>DART/Tax Title</t>
  </si>
  <si>
    <t>116</t>
  </si>
  <si>
    <t>Director's Office</t>
  </si>
  <si>
    <t>022, 023</t>
  </si>
  <si>
    <t>Finance/Accounts Payable</t>
  </si>
  <si>
    <t>021</t>
  </si>
  <si>
    <t>Finance/Benefits &amp; Wellness Administration</t>
  </si>
  <si>
    <t>228</t>
  </si>
  <si>
    <t>Finance/General Ledger</t>
  </si>
  <si>
    <t>026</t>
  </si>
  <si>
    <t>Finance/Payroll</t>
  </si>
  <si>
    <t>028</t>
  </si>
  <si>
    <t>Finance/PERS, Deferred Comp, &amp; Tax Reporting</t>
  </si>
  <si>
    <t>532</t>
  </si>
  <si>
    <t>Finance/Purchasing</t>
  </si>
  <si>
    <t>012, 092</t>
  </si>
  <si>
    <t>Finance/Risk Management</t>
  </si>
  <si>
    <t>033</t>
  </si>
  <si>
    <t>Finance/Treasury</t>
  </si>
  <si>
    <t>029</t>
  </si>
  <si>
    <t>Human Resources/Administration</t>
  </si>
  <si>
    <t>019</t>
  </si>
  <si>
    <t>Human Resources/Classification &amp; Compensation</t>
  </si>
  <si>
    <t>391</t>
  </si>
  <si>
    <t>Human Resources/Labor Relations</t>
  </si>
  <si>
    <t>016</t>
  </si>
  <si>
    <t>Marriage Licenses</t>
  </si>
  <si>
    <t>145</t>
  </si>
  <si>
    <t>DCM Total</t>
  </si>
  <si>
    <t>Community Services</t>
  </si>
  <si>
    <t>Animal Control</t>
  </si>
  <si>
    <t>003</t>
  </si>
  <si>
    <t>Animal Control/Field Services</t>
  </si>
  <si>
    <t>523</t>
  </si>
  <si>
    <t>Animal Control/Shelter Services</t>
  </si>
  <si>
    <t>524</t>
  </si>
  <si>
    <t>115, 146, 239, 521</t>
  </si>
  <si>
    <t>Elections</t>
  </si>
  <si>
    <t>017</t>
  </si>
  <si>
    <t>Land Use Planning</t>
  </si>
  <si>
    <t>126</t>
  </si>
  <si>
    <t>LUT/Administrative Support</t>
  </si>
  <si>
    <t>520</t>
  </si>
  <si>
    <t>LUT/Bridge Operations &amp; Maintenance</t>
  </si>
  <si>
    <t>263</t>
  </si>
  <si>
    <t>LUT/Engineering Support</t>
  </si>
  <si>
    <t>465</t>
  </si>
  <si>
    <t>LUT/Fiscal</t>
  </si>
  <si>
    <t>519</t>
  </si>
  <si>
    <t>LUT/Road Maintenance</t>
  </si>
  <si>
    <t>503</t>
  </si>
  <si>
    <t>LUT/Roadway Engineering &amp; Operations</t>
  </si>
  <si>
    <t>140</t>
  </si>
  <si>
    <t>LUT/Safety</t>
  </si>
  <si>
    <t>502</t>
  </si>
  <si>
    <t>Surveyor</t>
  </si>
  <si>
    <t>120</t>
  </si>
  <si>
    <t>DCS Total</t>
  </si>
  <si>
    <t>Department of Community Justice</t>
  </si>
  <si>
    <t>ACJ Administration</t>
  </si>
  <si>
    <t>341</t>
  </si>
  <si>
    <t>Alternative Community Services</t>
  </si>
  <si>
    <t>080</t>
  </si>
  <si>
    <t>Assessment &amp; Treatment for Youth &amp; Families (ATYF)</t>
  </si>
  <si>
    <t>541</t>
  </si>
  <si>
    <t>Business Services</t>
  </si>
  <si>
    <t>160</t>
  </si>
  <si>
    <t>Case Bank</t>
  </si>
  <si>
    <t>272</t>
  </si>
  <si>
    <t>Central Probation &amp; Parole</t>
  </si>
  <si>
    <t>174</t>
  </si>
  <si>
    <t>Centralized Intake</t>
  </si>
  <si>
    <t>373</t>
  </si>
  <si>
    <t>Day Reporting Center</t>
  </si>
  <si>
    <t>355</t>
  </si>
  <si>
    <t>Detention Services</t>
  </si>
  <si>
    <t>260</t>
  </si>
  <si>
    <t>Detention Alternatives</t>
  </si>
  <si>
    <t>349</t>
  </si>
  <si>
    <t>156</t>
  </si>
  <si>
    <t>Domestic Violence</t>
  </si>
  <si>
    <t>320</t>
  </si>
  <si>
    <t>DUII Supervision</t>
  </si>
  <si>
    <t>318</t>
  </si>
  <si>
    <t>Early Intervention Unit</t>
  </si>
  <si>
    <t>517</t>
  </si>
  <si>
    <t>East Probation &amp; Parole (MTEA)</t>
  </si>
  <si>
    <t>173</t>
  </si>
  <si>
    <t>Enhanced DUII Bench Probation Program</t>
  </si>
  <si>
    <t>442, 494</t>
  </si>
  <si>
    <t>Family Court Services</t>
  </si>
  <si>
    <t>231</t>
  </si>
  <si>
    <t>Family Service Unit</t>
  </si>
  <si>
    <t>481</t>
  </si>
  <si>
    <t>Gresham Probation &amp; Parole</t>
  </si>
  <si>
    <t>180</t>
  </si>
  <si>
    <t>Hearings Unit</t>
  </si>
  <si>
    <t>339</t>
  </si>
  <si>
    <t>Human Resources</t>
  </si>
  <si>
    <t>371</t>
  </si>
  <si>
    <t>Juvenile Justice Accountability Programs</t>
  </si>
  <si>
    <t>250</t>
  </si>
  <si>
    <t>Juvenile Justice Central Records</t>
  </si>
  <si>
    <t>074</t>
  </si>
  <si>
    <t>Londer Learning Center</t>
  </si>
  <si>
    <t>376</t>
  </si>
  <si>
    <t>Mid County Probation &amp; Parole</t>
  </si>
  <si>
    <t>181</t>
  </si>
  <si>
    <t>Multi-Systemic Treatment Team</t>
  </si>
  <si>
    <t>352</t>
  </si>
  <si>
    <t>Northeast Probation &amp; Parole</t>
  </si>
  <si>
    <t>175</t>
  </si>
  <si>
    <t>Pre-Sentence Investigation</t>
  </si>
  <si>
    <t>317</t>
  </si>
  <si>
    <t>Pre-Trial Release Services</t>
  </si>
  <si>
    <t>353</t>
  </si>
  <si>
    <t>Reduced Supervision Team</t>
  </si>
  <si>
    <t>500</t>
  </si>
  <si>
    <t>Research &amp; Evaluation</t>
  </si>
  <si>
    <t>347</t>
  </si>
  <si>
    <t>River Rock Program</t>
  </si>
  <si>
    <t>489</t>
  </si>
  <si>
    <t>Sex Offender Unit (MTSX)</t>
  </si>
  <si>
    <t>508</t>
  </si>
  <si>
    <t>Summit Project</t>
  </si>
  <si>
    <t>464</t>
  </si>
  <si>
    <t>Transition Services</t>
  </si>
  <si>
    <t>185</t>
  </si>
  <si>
    <t>Volunteer Services</t>
  </si>
  <si>
    <t>370</t>
  </si>
  <si>
    <t>West Probation &amp; Parole</t>
  </si>
  <si>
    <t>182</t>
  </si>
  <si>
    <t>Work Release Center</t>
  </si>
  <si>
    <t>184</t>
  </si>
  <si>
    <t>DCJ Total</t>
  </si>
  <si>
    <t>Department of County Human Services</t>
  </si>
  <si>
    <t>Addiction Services</t>
  </si>
  <si>
    <t>154</t>
  </si>
  <si>
    <t>ADS Director</t>
  </si>
  <si>
    <t>387</t>
  </si>
  <si>
    <t>Adult Care Home Program</t>
  </si>
  <si>
    <t>153</t>
  </si>
  <si>
    <t>Adult Mental Health Program</t>
  </si>
  <si>
    <t>227</t>
  </si>
  <si>
    <t>Behavioral Health</t>
  </si>
  <si>
    <t>385</t>
  </si>
  <si>
    <t>Business Services - Administration</t>
  </si>
  <si>
    <t>141</t>
  </si>
  <si>
    <t>Business Services - Contracts</t>
  </si>
  <si>
    <t>92, 296</t>
  </si>
  <si>
    <t>Business Services - Finance</t>
  </si>
  <si>
    <t>035, 306</t>
  </si>
  <si>
    <t>Business Services - Human Resources</t>
  </si>
  <si>
    <t>380</t>
  </si>
  <si>
    <t>Child &amp; Adolescent Treatment Services</t>
  </si>
  <si>
    <t>164</t>
  </si>
  <si>
    <t>Clearinghouse</t>
  </si>
  <si>
    <t>413</t>
  </si>
  <si>
    <t>135</t>
  </si>
  <si>
    <t>DCFS Children, Youth &amp; Family Services</t>
  </si>
  <si>
    <t>079</t>
  </si>
  <si>
    <t>DCHS Directors Office</t>
  </si>
  <si>
    <t>438</t>
  </si>
  <si>
    <t>Developmental Disabilities/Administration</t>
  </si>
  <si>
    <t>444</t>
  </si>
  <si>
    <t>Developmental Disabilities/Adult Services</t>
  </si>
  <si>
    <t>085</t>
  </si>
  <si>
    <t>Developmental Disabilities/Children's Services</t>
  </si>
  <si>
    <t>449</t>
  </si>
  <si>
    <t>DD/Adult Protective Service Program</t>
  </si>
  <si>
    <t>493</t>
  </si>
  <si>
    <t>DD/Community Options Brokerage</t>
  </si>
  <si>
    <t>487</t>
  </si>
  <si>
    <t>DD/Operations &amp; Protective Services</t>
  </si>
  <si>
    <t>439</t>
  </si>
  <si>
    <t>DD/Quality &amp; Specialized Services</t>
  </si>
  <si>
    <t>447</t>
  </si>
  <si>
    <t>DD/Regional Crisis Diversion Services</t>
  </si>
  <si>
    <t>448</t>
  </si>
  <si>
    <t>Domestic Violence Coordinator's Office</t>
  </si>
  <si>
    <t>505</t>
  </si>
  <si>
    <t>East Aging Services Office</t>
  </si>
  <si>
    <t>245</t>
  </si>
  <si>
    <t>Managed Care Administration</t>
  </si>
  <si>
    <t>257</t>
  </si>
  <si>
    <t>Mental Health &amp; Addiction Svcs./Admin.</t>
  </si>
  <si>
    <t>078</t>
  </si>
  <si>
    <t>Mid-Area Aging &amp; Disability Services Office</t>
  </si>
  <si>
    <t>039, 453</t>
  </si>
  <si>
    <t>Northeast Aging Services Office</t>
  </si>
  <si>
    <t>036</t>
  </si>
  <si>
    <t>Nursing Facilities Office</t>
  </si>
  <si>
    <t>384</t>
  </si>
  <si>
    <t>OSCP Administration</t>
  </si>
  <si>
    <t>038</t>
  </si>
  <si>
    <t>OSCP Community Partnerships</t>
  </si>
  <si>
    <t>479</t>
  </si>
  <si>
    <t>OSCP Community Services - Housing &amp; Public Works</t>
  </si>
  <si>
    <t>415</t>
  </si>
  <si>
    <t>OSCP Community Services - HSP/EHA/Winter Shelter</t>
  </si>
  <si>
    <t>294</t>
  </si>
  <si>
    <t>OSCP Contracts</t>
  </si>
  <si>
    <t>483</t>
  </si>
  <si>
    <t>OSCP Energy Programs</t>
  </si>
  <si>
    <t>416</t>
  </si>
  <si>
    <t>OSCP Program Support/Budget &amp; Fiscal</t>
  </si>
  <si>
    <t>482</t>
  </si>
  <si>
    <t>OSCP Program Support/Grant Administration</t>
  </si>
  <si>
    <t>414, 485</t>
  </si>
  <si>
    <t>OSCP Program Support/Personnel/Training</t>
  </si>
  <si>
    <t>484</t>
  </si>
  <si>
    <t>OSCP School Linked Services</t>
  </si>
  <si>
    <t>412</t>
  </si>
  <si>
    <t>DCFS Youth Program Office</t>
  </si>
  <si>
    <t>274</t>
  </si>
  <si>
    <t>Public Guardian</t>
  </si>
  <si>
    <t>041</t>
  </si>
  <si>
    <t>Regional Crisis Diversion Svcs/Region 1</t>
  </si>
  <si>
    <t>538</t>
  </si>
  <si>
    <t>Southeast Aging Services Office</t>
  </si>
  <si>
    <t>108</t>
  </si>
  <si>
    <t>West Aging Services Office</t>
  </si>
  <si>
    <t>042</t>
  </si>
  <si>
    <t>West Portland Disability Services Office</t>
  </si>
  <si>
    <t>328</t>
  </si>
  <si>
    <t>DCHS Total</t>
  </si>
  <si>
    <t>Department of Health</t>
  </si>
  <si>
    <t>Accounts Payable, Procurement &amp; Contracting</t>
  </si>
  <si>
    <t>309</t>
  </si>
  <si>
    <t>Administration</t>
  </si>
  <si>
    <t>165</t>
  </si>
  <si>
    <t>Binsmead Clinic</t>
  </si>
  <si>
    <t>300</t>
  </si>
  <si>
    <t>Breast &amp; Cervical Cancer Program</t>
  </si>
  <si>
    <t>271</t>
  </si>
  <si>
    <t>Children's Assessment Service</t>
  </si>
  <si>
    <t>109</t>
  </si>
  <si>
    <t>Cleveland SBHC</t>
  </si>
  <si>
    <t>061</t>
  </si>
  <si>
    <t>Coalition of Community Health Clinics</t>
  </si>
  <si>
    <t>400</t>
  </si>
  <si>
    <t>Corrections Health</t>
  </si>
  <si>
    <t>117, 357</t>
  </si>
  <si>
    <t xml:space="preserve">Corrections Health - Juvenile Services </t>
  </si>
  <si>
    <t>161</t>
  </si>
  <si>
    <t>Dental Services - Administration</t>
  </si>
  <si>
    <t>047, 283</t>
  </si>
  <si>
    <t>Dental Access Program</t>
  </si>
  <si>
    <t>278</t>
  </si>
  <si>
    <t>240</t>
  </si>
  <si>
    <t>Disease Prev &amp; Control/Comm.Disease Control</t>
  </si>
  <si>
    <t>048</t>
  </si>
  <si>
    <t>Disease Prev &amp; Control/Food Handler</t>
  </si>
  <si>
    <t>392</t>
  </si>
  <si>
    <t>ECS Program Management</t>
  </si>
  <si>
    <t>446, 542</t>
  </si>
  <si>
    <t>East County Dental Clinic</t>
  </si>
  <si>
    <t>457</t>
  </si>
  <si>
    <t>ECS Cascade East</t>
  </si>
  <si>
    <t>497, 480</t>
  </si>
  <si>
    <t>East County Health Clinic</t>
  </si>
  <si>
    <t>049</t>
  </si>
  <si>
    <t>East County Field Office</t>
  </si>
  <si>
    <t>070</t>
  </si>
  <si>
    <t>East County Pharmacy</t>
  </si>
  <si>
    <t>458</t>
  </si>
  <si>
    <t>East County Teen Clinic</t>
  </si>
  <si>
    <t>488, 534</t>
  </si>
  <si>
    <t>East County WIC</t>
  </si>
  <si>
    <t>398</t>
  </si>
  <si>
    <t>Edgefield Manor</t>
  </si>
  <si>
    <t>050</t>
  </si>
  <si>
    <t>Emergency Medical Services</t>
  </si>
  <si>
    <t>495, 051</t>
  </si>
  <si>
    <t>Environmental Health Services</t>
  </si>
  <si>
    <t>144</t>
  </si>
  <si>
    <t>Gateway WIC</t>
  </si>
  <si>
    <t>290</t>
  </si>
  <si>
    <t>George Middle SBHC</t>
  </si>
  <si>
    <t>224</t>
  </si>
  <si>
    <t>Grant SBHC</t>
  </si>
  <si>
    <t>062</t>
  </si>
  <si>
    <t>Grants Management &amp; Accounting</t>
  </si>
  <si>
    <t>129</t>
  </si>
  <si>
    <t>Health Officer</t>
  </si>
  <si>
    <t>150</t>
  </si>
  <si>
    <t>Healthy Birth Initiative</t>
  </si>
  <si>
    <t>343</t>
  </si>
  <si>
    <t>HIV Care Services</t>
  </si>
  <si>
    <t>121</t>
  </si>
  <si>
    <t>HIV &amp; Hepititis C Community Programs</t>
  </si>
  <si>
    <t>402</t>
  </si>
  <si>
    <t>HIV Health Services Center</t>
  </si>
  <si>
    <t>151</t>
  </si>
  <si>
    <t>305</t>
  </si>
  <si>
    <t>Immunization Unit</t>
  </si>
  <si>
    <t>083</t>
  </si>
  <si>
    <t>Information Systems</t>
  </si>
  <si>
    <t>040</t>
  </si>
  <si>
    <t>Jefferson SBHC</t>
  </si>
  <si>
    <t>055</t>
  </si>
  <si>
    <t>La Clinica de Buena Salud</t>
  </si>
  <si>
    <t>178</t>
  </si>
  <si>
    <t>Laboratory Services</t>
  </si>
  <si>
    <t>056</t>
  </si>
  <si>
    <t>Lane Middle SBHC</t>
  </si>
  <si>
    <t>302</t>
  </si>
  <si>
    <t>Lead Poisoning Prevention Program</t>
  </si>
  <si>
    <t>405</t>
  </si>
  <si>
    <t>Lincoln Park SBHC</t>
  </si>
  <si>
    <t>225</t>
  </si>
  <si>
    <t>Medical Accounts Receivable</t>
  </si>
  <si>
    <t>168</t>
  </si>
  <si>
    <t>Madison SBHC</t>
  </si>
  <si>
    <t>063</t>
  </si>
  <si>
    <t>Marshall SBHC</t>
  </si>
  <si>
    <t>057</t>
  </si>
  <si>
    <t>Medical Records Management</t>
  </si>
  <si>
    <t>045</t>
  </si>
  <si>
    <t>Mid County Dental Clinic</t>
  </si>
  <si>
    <t>127</t>
  </si>
  <si>
    <t>Mid County Health Clinic</t>
  </si>
  <si>
    <t>132</t>
  </si>
  <si>
    <t>Mid County Pharmacy</t>
  </si>
  <si>
    <t>350</t>
  </si>
  <si>
    <t>MultiCare Dental</t>
  </si>
  <si>
    <t>270</t>
  </si>
  <si>
    <t>Northeast Dental Clinic</t>
  </si>
  <si>
    <t>059</t>
  </si>
  <si>
    <t>Northeast Field Office</t>
  </si>
  <si>
    <t>066</t>
  </si>
  <si>
    <t>Northeast Health Clinic</t>
  </si>
  <si>
    <t>058</t>
  </si>
  <si>
    <t>Northeast Healthy Start</t>
  </si>
  <si>
    <t>522</t>
  </si>
  <si>
    <t>Northeast Nurse Family Partnership</t>
  </si>
  <si>
    <t>540</t>
  </si>
  <si>
    <t>Northeast Pharmacy</t>
  </si>
  <si>
    <t>553</t>
  </si>
  <si>
    <t>Northeast WIC</t>
  </si>
  <si>
    <t>044</t>
  </si>
  <si>
    <t>ECS Willamette North</t>
  </si>
  <si>
    <t>069</t>
  </si>
  <si>
    <t>North Nurse Family Partnership</t>
  </si>
  <si>
    <t>539</t>
  </si>
  <si>
    <t>North Portland Health Clinic</t>
  </si>
  <si>
    <t>043</t>
  </si>
  <si>
    <t>North Portland Pharmacy</t>
  </si>
  <si>
    <t>324</t>
  </si>
  <si>
    <t>Occupational Health</t>
  </si>
  <si>
    <t>284</t>
  </si>
  <si>
    <t>Pharmacies, Clinic</t>
  </si>
  <si>
    <t>440</t>
  </si>
  <si>
    <t>Parkrose SBHC</t>
  </si>
  <si>
    <t>064</t>
  </si>
  <si>
    <t>Planning &amp; Development</t>
  </si>
  <si>
    <t>315</t>
  </si>
  <si>
    <t>P&amp;D/Program Design &amp; Evaluation</t>
  </si>
  <si>
    <t>490, 536</t>
  </si>
  <si>
    <t>Portland Womens' Health Study</t>
  </si>
  <si>
    <t>478</t>
  </si>
  <si>
    <t>Portsmouth SBHC</t>
  </si>
  <si>
    <t>288</t>
  </si>
  <si>
    <t>Primary Care Clinics - Administration</t>
  </si>
  <si>
    <t>381</t>
  </si>
  <si>
    <t>Rockwood Community Clinic</t>
  </si>
  <si>
    <t>445</t>
  </si>
  <si>
    <t>Rockwood Dental Office</t>
  </si>
  <si>
    <t>548</t>
  </si>
  <si>
    <t>Roosevelt SBHC</t>
  </si>
  <si>
    <t>065</t>
  </si>
  <si>
    <t>SBHC Administration</t>
  </si>
  <si>
    <t>450</t>
  </si>
  <si>
    <t>School &amp; Community Dental Services</t>
  </si>
  <si>
    <t>105</t>
  </si>
  <si>
    <t>Southeast Dental Clinic</t>
  </si>
  <si>
    <t>060</t>
  </si>
  <si>
    <t>Southeast Health Clinic</t>
  </si>
  <si>
    <t>034</t>
  </si>
  <si>
    <t>STD Clinic &amp; Epidemiology</t>
  </si>
  <si>
    <t>071</t>
  </si>
  <si>
    <t>Support Services - Administration</t>
  </si>
  <si>
    <t>310</t>
  </si>
  <si>
    <t>Tuberculosis Clinic</t>
  </si>
  <si>
    <t>072</t>
  </si>
  <si>
    <t>Vector Control</t>
  </si>
  <si>
    <t>267</t>
  </si>
  <si>
    <t>Vital Statistics</t>
  </si>
  <si>
    <t>244</t>
  </si>
  <si>
    <t>Westside/Burnside Health Clinic</t>
  </si>
  <si>
    <t>073</t>
  </si>
  <si>
    <t>Westside Pharmacy</t>
  </si>
  <si>
    <t>292</t>
  </si>
  <si>
    <t>WIC Administration</t>
  </si>
  <si>
    <t>441</t>
  </si>
  <si>
    <t>DOH Total</t>
  </si>
  <si>
    <t>Department of Library Services</t>
  </si>
  <si>
    <t>Administrative Services</t>
  </si>
  <si>
    <t>157</t>
  </si>
  <si>
    <t>Circulation Services</t>
  </si>
  <si>
    <t>426</t>
  </si>
  <si>
    <t>312</t>
  </si>
  <si>
    <t>125</t>
  </si>
  <si>
    <t>407</t>
  </si>
  <si>
    <t>Technical Services</t>
  </si>
  <si>
    <t>346</t>
  </si>
  <si>
    <t>Youth Services</t>
  </si>
  <si>
    <t>406</t>
  </si>
  <si>
    <t>Non-Departmental</t>
  </si>
  <si>
    <t>Board of County Commissioners</t>
  </si>
  <si>
    <t>456</t>
  </si>
  <si>
    <t>Chair's Office</t>
  </si>
  <si>
    <t>086</t>
  </si>
  <si>
    <t>Citizen Involvment</t>
  </si>
  <si>
    <t>492</t>
  </si>
  <si>
    <t>Clerk of the Board</t>
  </si>
  <si>
    <t>087</t>
  </si>
  <si>
    <t>Commission on Children, Families, &amp; Community</t>
  </si>
  <si>
    <t>459</t>
  </si>
  <si>
    <t>Commissioner, District 1</t>
  </si>
  <si>
    <t>233</t>
  </si>
  <si>
    <t>Commissioner, District 2</t>
  </si>
  <si>
    <t>234</t>
  </si>
  <si>
    <t>Commissioner, District 3</t>
  </si>
  <si>
    <t>235</t>
  </si>
  <si>
    <t>Commissioner, District 4</t>
  </si>
  <si>
    <t>236</t>
  </si>
  <si>
    <t>County Attorney</t>
  </si>
  <si>
    <t>088</t>
  </si>
  <si>
    <t>County Auditor</t>
  </si>
  <si>
    <t>084</t>
  </si>
  <si>
    <t>Local Public Safety Coordinating Council</t>
  </si>
  <si>
    <t>356</t>
  </si>
  <si>
    <t>Office of Diversity &amp; Equity</t>
  </si>
  <si>
    <t>020</t>
  </si>
  <si>
    <t>Public Affairs Office</t>
  </si>
  <si>
    <t>546</t>
  </si>
  <si>
    <t>Sustainability</t>
  </si>
  <si>
    <t>068</t>
  </si>
  <si>
    <t>District Attorney</t>
  </si>
  <si>
    <t>089, 090, 091</t>
  </si>
  <si>
    <t>District Attorney - Administrative Services</t>
  </si>
  <si>
    <t>093</t>
  </si>
  <si>
    <t>District Attorney - Child Abuse Unit</t>
  </si>
  <si>
    <t>344</t>
  </si>
  <si>
    <t>District Attorney - Child Support Enforcement</t>
  </si>
  <si>
    <t>094</t>
  </si>
  <si>
    <t>District Attorney - Domestic Violence Unit</t>
  </si>
  <si>
    <t>171</t>
  </si>
  <si>
    <t>District Attorney - Family &amp; Community Justice</t>
  </si>
  <si>
    <t>477</t>
  </si>
  <si>
    <t>District Attorney - Felony Court Division</t>
  </si>
  <si>
    <t>451</t>
  </si>
  <si>
    <t>District Attorney - Intake</t>
  </si>
  <si>
    <t>107, 113</t>
  </si>
  <si>
    <t>District Attorney - Juvenile Court Trial Unit</t>
  </si>
  <si>
    <t>114</t>
  </si>
  <si>
    <t>District Attorney - Medical Examiner</t>
  </si>
  <si>
    <t>081</t>
  </si>
  <si>
    <t>District Attorney - Medical Examiner, State</t>
  </si>
  <si>
    <t>082</t>
  </si>
  <si>
    <t>District Attorney - Mental Commitments</t>
  </si>
  <si>
    <t>327</t>
  </si>
  <si>
    <t>District Attorney - Misdemeanor Trial Unit</t>
  </si>
  <si>
    <t>452</t>
  </si>
  <si>
    <t>District Attorney - Office of the District Attorney</t>
  </si>
  <si>
    <t>428</t>
  </si>
  <si>
    <t>District Attorney - ROCN</t>
  </si>
  <si>
    <t>550</t>
  </si>
  <si>
    <t>District Attorney - SED Gresham</t>
  </si>
  <si>
    <t>390</t>
  </si>
  <si>
    <t>District Attorney - Unit B</t>
  </si>
  <si>
    <t>337</t>
  </si>
  <si>
    <t>District Attorney - Unit D</t>
  </si>
  <si>
    <t>378</t>
  </si>
  <si>
    <t>District Attorney - Victims Assistance</t>
  </si>
  <si>
    <t>149</t>
  </si>
  <si>
    <t>DA Total</t>
  </si>
  <si>
    <t>MCSO</t>
  </si>
  <si>
    <t>MCSO - Administration</t>
  </si>
  <si>
    <t>095</t>
  </si>
  <si>
    <t>MCSO - Alarm Unit</t>
  </si>
  <si>
    <t>389</t>
  </si>
  <si>
    <t>MCSO - Auxiliary Svcs</t>
  </si>
  <si>
    <t>429</t>
  </si>
  <si>
    <t>MCSO - Auxiliary Svcs/Commissary</t>
  </si>
  <si>
    <t>134</t>
  </si>
  <si>
    <t>MCSO - Auxiliary Svcs/Warehouse</t>
  </si>
  <si>
    <t>295</t>
  </si>
  <si>
    <t>MCSO - Civil Process Unit</t>
  </si>
  <si>
    <t>096</t>
  </si>
  <si>
    <t>MCSO - Classification</t>
  </si>
  <si>
    <t>097</t>
  </si>
  <si>
    <t>MCSO - Close Street</t>
  </si>
  <si>
    <t>100</t>
  </si>
  <si>
    <t>MCSO - Corrections Administration</t>
  </si>
  <si>
    <t>147</t>
  </si>
  <si>
    <t>MCSO - Counseling</t>
  </si>
  <si>
    <t>098</t>
  </si>
  <si>
    <t>MCSO - Enforcement/Support</t>
  </si>
  <si>
    <t>496</t>
  </si>
  <si>
    <t>MCSO - Enforcement/Traffic Safety</t>
  </si>
  <si>
    <t>437</t>
  </si>
  <si>
    <t>MCSO - Facilities Security, Courthouse</t>
  </si>
  <si>
    <t>111</t>
  </si>
  <si>
    <t>MCSO - Facility Services/Administration</t>
  </si>
  <si>
    <t>432</t>
  </si>
  <si>
    <t>MCSO - Fiscal</t>
  </si>
  <si>
    <t>358</t>
  </si>
  <si>
    <t>MCSO - Inmate Property</t>
  </si>
  <si>
    <t>329</t>
  </si>
  <si>
    <t>MCSO - Inspections</t>
  </si>
  <si>
    <t>308</t>
  </si>
  <si>
    <t>MCSO - Inverness Jail</t>
  </si>
  <si>
    <t>124</t>
  </si>
  <si>
    <t>MCSO - Investigations</t>
  </si>
  <si>
    <t>103</t>
  </si>
  <si>
    <t>MCSO - Logistics</t>
  </si>
  <si>
    <t>533</t>
  </si>
  <si>
    <t>MCSO - MCCF</t>
  </si>
  <si>
    <t>277</t>
  </si>
  <si>
    <t>MCSO - MCDC</t>
  </si>
  <si>
    <t>403</t>
  </si>
  <si>
    <t>MCSO - Human Resources</t>
  </si>
  <si>
    <t>102, 264,330</t>
  </si>
  <si>
    <t>MCSO - Planning &amp; Research</t>
  </si>
  <si>
    <t>404</t>
  </si>
  <si>
    <t>MCSO - Records Unit</t>
  </si>
  <si>
    <t>110</t>
  </si>
  <si>
    <t>MCSO Total</t>
  </si>
  <si>
    <t>FY12 Allocation for Records Services</t>
  </si>
  <si>
    <t>Change in % of allocation</t>
  </si>
  <si>
    <t>Change in $'s Allocated</t>
  </si>
  <si>
    <t>Boxes</t>
  </si>
  <si>
    <t>Shelved</t>
  </si>
  <si>
    <t>Outside Agency Revenue - reducing allocation to departments</t>
  </si>
  <si>
    <t>Department of Community Services</t>
  </si>
  <si>
    <t>FY12 % of Total</t>
  </si>
  <si>
    <t>FY13 Budget Allocation</t>
  </si>
  <si>
    <t>FY13 % of Total</t>
  </si>
  <si>
    <t>FY12 Budget  Allocation</t>
  </si>
  <si>
    <t>Comparison to FY12 Budget Allocation</t>
  </si>
  <si>
    <t>LIB Total</t>
  </si>
  <si>
    <t>NonDept Total</t>
  </si>
  <si>
    <t>Excludes Regional Drug, State Juvenile Court</t>
  </si>
  <si>
    <t>FY13 Allocation for Records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</si>
</sst>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0.000%"/>
    <numFmt numFmtId="167" formatCode="&quot;$&quot;#,##0"/>
    <numFmt numFmtId="168" formatCode="&quot;$&quot;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10" fontId="1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0" fontId="19" fillId="0" borderId="0" xfId="57" applyNumberFormat="1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64" fontId="19" fillId="0" borderId="0" xfId="57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 horizontal="right" wrapText="1"/>
    </xf>
    <xf numFmtId="49" fontId="1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164" fontId="0" fillId="4" borderId="13" xfId="57" applyNumberFormat="1" applyFont="1" applyFill="1" applyBorder="1" applyAlignment="1">
      <alignment/>
    </xf>
    <xf numFmtId="10" fontId="0" fillId="4" borderId="13" xfId="0" applyNumberFormat="1" applyFill="1" applyBorder="1" applyAlignment="1">
      <alignment/>
    </xf>
    <xf numFmtId="10" fontId="0" fillId="4" borderId="14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57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57" applyNumberFormat="1" applyFont="1" applyBorder="1" applyAlignment="1">
      <alignment horizontal="right"/>
    </xf>
    <xf numFmtId="10" fontId="19" fillId="0" borderId="0" xfId="57" applyNumberFormat="1" applyFont="1" applyBorder="1" applyAlignment="1">
      <alignment horizontal="right"/>
    </xf>
    <xf numFmtId="10" fontId="19" fillId="0" borderId="11" xfId="57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 horizontal="right"/>
    </xf>
    <xf numFmtId="10" fontId="19" fillId="0" borderId="0" xfId="57" applyNumberFormat="1" applyFont="1" applyBorder="1" applyAlignment="1">
      <alignment/>
    </xf>
    <xf numFmtId="166" fontId="19" fillId="4" borderId="16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67" fontId="19" fillId="0" borderId="11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10" fontId="19" fillId="4" borderId="16" xfId="0" applyNumberFormat="1" applyFont="1" applyFill="1" applyBorder="1" applyAlignment="1">
      <alignment/>
    </xf>
    <xf numFmtId="167" fontId="19" fillId="4" borderId="0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0" xfId="0" applyFill="1" applyBorder="1" applyAlignment="1">
      <alignment/>
    </xf>
    <xf numFmtId="167" fontId="19" fillId="0" borderId="11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66" fontId="0" fillId="0" borderId="0" xfId="57" applyNumberFormat="1" applyFont="1" applyBorder="1" applyAlignment="1">
      <alignment/>
    </xf>
    <xf numFmtId="10" fontId="19" fillId="4" borderId="16" xfId="57" applyNumberFormat="1" applyFont="1" applyFill="1" applyBorder="1" applyAlignment="1">
      <alignment horizontal="center"/>
    </xf>
    <xf numFmtId="10" fontId="0" fillId="0" borderId="10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0" fontId="19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57" applyNumberFormat="1" applyFont="1" applyFill="1" applyBorder="1" applyAlignment="1">
      <alignment/>
    </xf>
    <xf numFmtId="166" fontId="0" fillId="0" borderId="0" xfId="57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164" fontId="0" fillId="0" borderId="18" xfId="57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19" fillId="4" borderId="19" xfId="0" applyNumberFormat="1" applyFont="1" applyFill="1" applyBorder="1" applyAlignment="1">
      <alignment/>
    </xf>
    <xf numFmtId="167" fontId="19" fillId="4" borderId="18" xfId="0" applyNumberFormat="1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0" borderId="17" xfId="0" applyFill="1" applyBorder="1" applyAlignment="1">
      <alignment/>
    </xf>
    <xf numFmtId="167" fontId="19" fillId="0" borderId="2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19" fillId="0" borderId="0" xfId="0" applyNumberFormat="1" applyFont="1" applyFill="1" applyAlignment="1">
      <alignment/>
    </xf>
    <xf numFmtId="0" fontId="0" fillId="0" borderId="13" xfId="0" applyFont="1" applyBorder="1" applyAlignment="1">
      <alignment/>
    </xf>
    <xf numFmtId="164" fontId="0" fillId="0" borderId="13" xfId="57" applyNumberFormat="1" applyFont="1" applyBorder="1" applyAlignment="1">
      <alignment/>
    </xf>
    <xf numFmtId="10" fontId="0" fillId="0" borderId="13" xfId="0" applyNumberFormat="1" applyBorder="1" applyAlignment="1">
      <alignment/>
    </xf>
    <xf numFmtId="166" fontId="19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5" fontId="19" fillId="0" borderId="14" xfId="44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5" fontId="19" fillId="0" borderId="0" xfId="44" applyNumberFormat="1" applyFont="1" applyBorder="1" applyAlignment="1">
      <alignment/>
    </xf>
    <xf numFmtId="5" fontId="0" fillId="0" borderId="0" xfId="0" applyNumberFormat="1" applyBorder="1" applyAlignment="1">
      <alignment/>
    </xf>
    <xf numFmtId="0" fontId="19" fillId="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164" fontId="0" fillId="0" borderId="22" xfId="57" applyNumberFormat="1" applyFont="1" applyBorder="1" applyAlignment="1">
      <alignment/>
    </xf>
    <xf numFmtId="10" fontId="19" fillId="0" borderId="15" xfId="57" applyNumberFormat="1" applyFont="1" applyBorder="1" applyAlignment="1">
      <alignment/>
    </xf>
    <xf numFmtId="166" fontId="19" fillId="0" borderId="0" xfId="0" applyNumberFormat="1" applyFont="1" applyAlignment="1">
      <alignment/>
    </xf>
    <xf numFmtId="0" fontId="20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21" xfId="0" applyFont="1" applyFill="1" applyBorder="1" applyAlignment="1">
      <alignment/>
    </xf>
    <xf numFmtId="10" fontId="19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166" fontId="0" fillId="0" borderId="11" xfId="57" applyNumberFormat="1" applyFont="1" applyBorder="1" applyAlignment="1">
      <alignment/>
    </xf>
    <xf numFmtId="0" fontId="19" fillId="0" borderId="16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16" xfId="0" applyFill="1" applyBorder="1" applyAlignment="1">
      <alignment/>
    </xf>
    <xf numFmtId="166" fontId="0" fillId="0" borderId="11" xfId="57" applyNumberFormat="1" applyFont="1" applyFill="1" applyBorder="1" applyAlignment="1">
      <alignment/>
    </xf>
    <xf numFmtId="0" fontId="0" fillId="0" borderId="16" xfId="0" applyBorder="1" applyAlignment="1">
      <alignment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10" fontId="19" fillId="0" borderId="20" xfId="57" applyNumberFormat="1" applyFont="1" applyBorder="1" applyAlignment="1">
      <alignment/>
    </xf>
    <xf numFmtId="6" fontId="19" fillId="0" borderId="11" xfId="0" applyNumberFormat="1" applyFont="1" applyFill="1" applyBorder="1" applyAlignment="1">
      <alignment/>
    </xf>
    <xf numFmtId="5" fontId="19" fillId="0" borderId="23" xfId="44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6" fontId="19" fillId="4" borderId="0" xfId="0" applyNumberFormat="1" applyFont="1" applyFill="1" applyBorder="1" applyAlignment="1">
      <alignment/>
    </xf>
    <xf numFmtId="6" fontId="19" fillId="4" borderId="17" xfId="0" applyNumberFormat="1" applyFont="1" applyFill="1" applyBorder="1" applyAlignment="1">
      <alignment/>
    </xf>
    <xf numFmtId="6" fontId="19" fillId="4" borderId="18" xfId="0" applyNumberFormat="1" applyFont="1" applyFill="1" applyBorder="1" applyAlignment="1">
      <alignment/>
    </xf>
    <xf numFmtId="6" fontId="19" fillId="4" borderId="2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0" fontId="0" fillId="4" borderId="24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7" xfId="0" applyFill="1" applyBorder="1" applyAlignment="1">
      <alignment/>
    </xf>
    <xf numFmtId="6" fontId="0" fillId="4" borderId="0" xfId="0" applyNumberFormat="1" applyFill="1" applyBorder="1" applyAlignment="1">
      <alignment/>
    </xf>
    <xf numFmtId="6" fontId="19" fillId="4" borderId="18" xfId="0" applyNumberFormat="1" applyFont="1" applyFill="1" applyBorder="1" applyAlignment="1">
      <alignment/>
    </xf>
    <xf numFmtId="6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6" fontId="19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19" fillId="4" borderId="10" xfId="0" applyNumberFormat="1" applyFont="1" applyFill="1" applyBorder="1" applyAlignment="1">
      <alignment horizontal="center"/>
    </xf>
    <xf numFmtId="167" fontId="19" fillId="4" borderId="11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top" wrapText="1"/>
    </xf>
    <xf numFmtId="0" fontId="19" fillId="4" borderId="16" xfId="0" applyFont="1" applyFill="1" applyBorder="1" applyAlignment="1">
      <alignment horizontal="center" vertical="top" wrapText="1"/>
    </xf>
    <xf numFmtId="0" fontId="19" fillId="4" borderId="24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4" borderId="12" xfId="0" applyFont="1" applyFill="1" applyBorder="1" applyAlignment="1">
      <alignment horizontal="center" wrapText="1"/>
    </xf>
    <xf numFmtId="0" fontId="19" fillId="4" borderId="13" xfId="0" applyFont="1" applyFill="1" applyBorder="1" applyAlignment="1">
      <alignment horizontal="center" wrapText="1"/>
    </xf>
    <xf numFmtId="0" fontId="19" fillId="4" borderId="14" xfId="0" applyFont="1" applyFill="1" applyBorder="1" applyAlignment="1">
      <alignment horizontal="center" wrapText="1"/>
    </xf>
    <xf numFmtId="0" fontId="19" fillId="4" borderId="24" xfId="0" applyFont="1" applyFill="1" applyBorder="1" applyAlignment="1">
      <alignment horizontal="center" wrapText="1"/>
    </xf>
    <xf numFmtId="0" fontId="19" fillId="4" borderId="22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wrapText="1"/>
    </xf>
    <xf numFmtId="0" fontId="19" fillId="4" borderId="18" xfId="0" applyFont="1" applyFill="1" applyBorder="1" applyAlignment="1">
      <alignment horizontal="center" wrapText="1"/>
    </xf>
    <xf numFmtId="0" fontId="19" fillId="4" borderId="20" xfId="0" applyFont="1" applyFill="1" applyBorder="1" applyAlignment="1">
      <alignment horizontal="center" wrapText="1"/>
    </xf>
    <xf numFmtId="0" fontId="19" fillId="4" borderId="24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PageLayoutView="0" workbookViewId="0" topLeftCell="A1">
      <pane xSplit="1" ySplit="4" topLeftCell="J5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K29" sqref="K29"/>
    </sheetView>
  </sheetViews>
  <sheetFormatPr defaultColWidth="9.140625" defaultRowHeight="12.75"/>
  <cols>
    <col min="1" max="1" width="36.8515625" style="0" bestFit="1" customWidth="1"/>
    <col min="15" max="15" width="9.28125" style="0" bestFit="1" customWidth="1"/>
    <col min="18" max="18" width="12.7109375" style="0" customWidth="1"/>
  </cols>
  <sheetData>
    <row r="1" spans="1:18" ht="13.5" customHeight="1" thickBot="1">
      <c r="A1" s="31" t="s">
        <v>617</v>
      </c>
      <c r="B1" s="32"/>
      <c r="C1" s="33"/>
      <c r="D1" s="32"/>
      <c r="E1" s="33"/>
      <c r="F1" s="32"/>
      <c r="G1" s="33"/>
      <c r="H1" s="34"/>
      <c r="I1" s="35"/>
      <c r="J1" s="155" t="s">
        <v>1</v>
      </c>
      <c r="K1" s="156"/>
      <c r="L1" s="157"/>
      <c r="N1" s="142" t="s">
        <v>613</v>
      </c>
      <c r="O1" s="143"/>
      <c r="P1" s="143"/>
      <c r="Q1" s="143"/>
      <c r="R1" s="144"/>
    </row>
    <row r="2" spans="1:18" ht="12.75" customHeight="1">
      <c r="A2" s="36"/>
      <c r="B2" s="37"/>
      <c r="C2" s="38"/>
      <c r="D2" s="37"/>
      <c r="E2" s="38"/>
      <c r="F2" s="37"/>
      <c r="G2" s="38"/>
      <c r="H2" s="39"/>
      <c r="I2" s="40"/>
      <c r="J2" s="145" t="s">
        <v>611</v>
      </c>
      <c r="K2" s="147" t="s">
        <v>610</v>
      </c>
      <c r="L2" s="148"/>
      <c r="N2" s="151" t="s">
        <v>609</v>
      </c>
      <c r="O2" s="153" t="s">
        <v>612</v>
      </c>
      <c r="P2" s="41"/>
      <c r="Q2" s="151" t="s">
        <v>603</v>
      </c>
      <c r="R2" s="153" t="s">
        <v>604</v>
      </c>
    </row>
    <row r="3" spans="1:18" ht="12.75">
      <c r="A3" s="36"/>
      <c r="B3" s="42" t="s">
        <v>4</v>
      </c>
      <c r="C3" s="43" t="s">
        <v>5</v>
      </c>
      <c r="D3" s="42" t="s">
        <v>605</v>
      </c>
      <c r="E3" s="43" t="s">
        <v>5</v>
      </c>
      <c r="F3" s="42" t="s">
        <v>605</v>
      </c>
      <c r="G3" s="43" t="s">
        <v>5</v>
      </c>
      <c r="H3" s="44" t="s">
        <v>7</v>
      </c>
      <c r="I3" s="45"/>
      <c r="J3" s="146"/>
      <c r="K3" s="149"/>
      <c r="L3" s="150"/>
      <c r="N3" s="152"/>
      <c r="O3" s="154"/>
      <c r="P3" s="41"/>
      <c r="Q3" s="152"/>
      <c r="R3" s="154"/>
    </row>
    <row r="4" spans="1:18" ht="12.75">
      <c r="A4" s="46" t="s">
        <v>8</v>
      </c>
      <c r="B4" s="47" t="s">
        <v>12</v>
      </c>
      <c r="C4" s="43" t="s">
        <v>13</v>
      </c>
      <c r="D4" s="47" t="s">
        <v>14</v>
      </c>
      <c r="E4" s="43" t="s">
        <v>13</v>
      </c>
      <c r="F4" s="47" t="s">
        <v>606</v>
      </c>
      <c r="G4" s="43" t="s">
        <v>13</v>
      </c>
      <c r="H4" s="44" t="s">
        <v>16</v>
      </c>
      <c r="I4" s="48"/>
      <c r="J4" s="49"/>
      <c r="K4" s="138">
        <f>882681-42032</f>
        <v>840649</v>
      </c>
      <c r="L4" s="139"/>
      <c r="N4" s="50"/>
      <c r="O4" s="51">
        <v>715817</v>
      </c>
      <c r="P4" s="41"/>
      <c r="Q4" s="8">
        <f>R4/O4</f>
        <v>0.1743909407013245</v>
      </c>
      <c r="R4" s="117">
        <f>K4-O4</f>
        <v>124832</v>
      </c>
    </row>
    <row r="5" spans="1:18" ht="12.75">
      <c r="A5" s="52"/>
      <c r="B5" s="37"/>
      <c r="C5" s="38"/>
      <c r="D5" s="37"/>
      <c r="E5" s="38"/>
      <c r="F5" s="37"/>
      <c r="G5" s="38"/>
      <c r="H5" s="48"/>
      <c r="I5" s="48"/>
      <c r="J5" s="53"/>
      <c r="K5" s="54"/>
      <c r="L5" s="55"/>
      <c r="N5" s="56"/>
      <c r="O5" s="57"/>
      <c r="P5" s="58"/>
      <c r="Q5" s="56"/>
      <c r="R5" s="12"/>
    </row>
    <row r="6" spans="1:18" ht="12.75">
      <c r="A6" s="52" t="s">
        <v>17</v>
      </c>
      <c r="B6" s="37">
        <v>145</v>
      </c>
      <c r="C6" s="38">
        <v>0.0101</v>
      </c>
      <c r="D6" s="37">
        <v>113</v>
      </c>
      <c r="E6" s="38">
        <v>0.022</v>
      </c>
      <c r="F6" s="37">
        <v>1053</v>
      </c>
      <c r="G6" s="38">
        <v>0.031</v>
      </c>
      <c r="H6" s="59">
        <v>0.0212</v>
      </c>
      <c r="I6" s="48"/>
      <c r="J6" s="60">
        <f>ROUND(H6,4)</f>
        <v>0.0212</v>
      </c>
      <c r="K6" s="138">
        <f>$K$4*J6</f>
        <v>17821.7588</v>
      </c>
      <c r="L6" s="139"/>
      <c r="N6" s="8"/>
      <c r="O6" s="57"/>
      <c r="P6" s="58"/>
      <c r="Q6" s="61">
        <f>J6-N6</f>
        <v>0.0212</v>
      </c>
      <c r="R6" s="62">
        <f>K6-O6</f>
        <v>17821.7588</v>
      </c>
    </row>
    <row r="7" spans="1:18" ht="12.75">
      <c r="A7" s="52"/>
      <c r="B7" s="37"/>
      <c r="C7" s="38"/>
      <c r="D7" s="37"/>
      <c r="E7" s="38"/>
      <c r="F7" s="37"/>
      <c r="G7" s="38"/>
      <c r="H7" s="59"/>
      <c r="I7" s="48"/>
      <c r="J7" s="53"/>
      <c r="K7" s="54"/>
      <c r="L7" s="55"/>
      <c r="N7" s="8"/>
      <c r="O7" s="57"/>
      <c r="P7" s="41"/>
      <c r="Q7" s="56"/>
      <c r="R7" s="62"/>
    </row>
    <row r="8" spans="1:18" ht="12.75">
      <c r="A8" s="52" t="s">
        <v>51</v>
      </c>
      <c r="B8" s="37">
        <v>1019</v>
      </c>
      <c r="C8" s="38">
        <v>0.071</v>
      </c>
      <c r="D8" s="37">
        <v>300</v>
      </c>
      <c r="E8" s="38">
        <v>0.059</v>
      </c>
      <c r="F8" s="37">
        <v>2414</v>
      </c>
      <c r="G8" s="38">
        <v>0.071</v>
      </c>
      <c r="H8" s="59">
        <v>0.0672</v>
      </c>
      <c r="I8" s="48"/>
      <c r="J8" s="60">
        <f>ROUND(H8,4)</f>
        <v>0.0672</v>
      </c>
      <c r="K8" s="138">
        <f>$K$4*J8</f>
        <v>56491.612799999995</v>
      </c>
      <c r="L8" s="139"/>
      <c r="N8" s="8">
        <v>0.0945</v>
      </c>
      <c r="O8" s="57">
        <v>67644.7065</v>
      </c>
      <c r="P8" s="58"/>
      <c r="Q8" s="61">
        <f>J8-N8</f>
        <v>-0.027300000000000005</v>
      </c>
      <c r="R8" s="62">
        <f>K8-O8</f>
        <v>-11153.093700000005</v>
      </c>
    </row>
    <row r="9" spans="1:18" ht="12.75">
      <c r="A9" s="52"/>
      <c r="B9" s="37"/>
      <c r="C9" s="38"/>
      <c r="D9" s="37"/>
      <c r="E9" s="38"/>
      <c r="F9" s="37"/>
      <c r="G9" s="38"/>
      <c r="H9" s="59"/>
      <c r="I9" s="48"/>
      <c r="J9" s="53"/>
      <c r="K9" s="54"/>
      <c r="L9" s="55"/>
      <c r="N9" s="8"/>
      <c r="O9" s="57"/>
      <c r="P9" s="41"/>
      <c r="Q9" s="56"/>
      <c r="R9" s="62"/>
    </row>
    <row r="10" spans="1:18" ht="12.75">
      <c r="A10" s="52" t="s">
        <v>101</v>
      </c>
      <c r="B10" s="37">
        <v>171</v>
      </c>
      <c r="C10" s="38">
        <v>0.012</v>
      </c>
      <c r="D10" s="37">
        <v>222</v>
      </c>
      <c r="E10" s="38">
        <v>0.044</v>
      </c>
      <c r="F10" s="37">
        <v>1749</v>
      </c>
      <c r="G10" s="38">
        <v>0.052</v>
      </c>
      <c r="H10" s="59">
        <v>0.0358</v>
      </c>
      <c r="I10" s="48"/>
      <c r="J10" s="60">
        <f>ROUND(H10,4)</f>
        <v>0.0358</v>
      </c>
      <c r="K10" s="138">
        <f>$K$4*J10</f>
        <v>30095.2342</v>
      </c>
      <c r="L10" s="139"/>
      <c r="N10" s="8">
        <v>0.0294</v>
      </c>
      <c r="O10" s="57">
        <v>21045.0198</v>
      </c>
      <c r="P10" s="58"/>
      <c r="Q10" s="61">
        <f>J10-N10</f>
        <v>0.0063999999999999994</v>
      </c>
      <c r="R10" s="62">
        <f>K10-O10</f>
        <v>9050.2144</v>
      </c>
    </row>
    <row r="11" spans="1:18" ht="12.75">
      <c r="A11" s="63"/>
      <c r="B11" s="37"/>
      <c r="C11" s="38"/>
      <c r="D11" s="37"/>
      <c r="E11" s="38"/>
      <c r="F11" s="37"/>
      <c r="G11" s="38"/>
      <c r="H11" s="59"/>
      <c r="I11" s="48"/>
      <c r="J11" s="53"/>
      <c r="K11" s="54"/>
      <c r="L11" s="55"/>
      <c r="N11" s="8"/>
      <c r="O11" s="57"/>
      <c r="P11" s="41"/>
      <c r="Q11" s="56"/>
      <c r="R11" s="62"/>
    </row>
    <row r="12" spans="1:18" ht="12.75">
      <c r="A12" s="52" t="s">
        <v>130</v>
      </c>
      <c r="B12" s="37">
        <v>1553</v>
      </c>
      <c r="C12" s="38">
        <v>0.109</v>
      </c>
      <c r="D12" s="37">
        <v>518</v>
      </c>
      <c r="E12" s="38">
        <v>0.102</v>
      </c>
      <c r="F12" s="37">
        <v>3704</v>
      </c>
      <c r="G12" s="38">
        <v>0.109</v>
      </c>
      <c r="H12" s="59">
        <v>0.1067</v>
      </c>
      <c r="I12" s="48"/>
      <c r="J12" s="60">
        <f>ROUND(H12,4)</f>
        <v>0.1067</v>
      </c>
      <c r="K12" s="138">
        <f>$K$4*J12</f>
        <v>89697.2483</v>
      </c>
      <c r="L12" s="139"/>
      <c r="N12" s="8">
        <v>0.1089</v>
      </c>
      <c r="O12" s="57">
        <v>77952.4713</v>
      </c>
      <c r="P12" s="58"/>
      <c r="Q12" s="61">
        <f>J12-N12</f>
        <v>-0.0021999999999999936</v>
      </c>
      <c r="R12" s="62">
        <f>K12-O12</f>
        <v>11744.777000000002</v>
      </c>
    </row>
    <row r="13" spans="1:18" ht="12.75">
      <c r="A13" s="56"/>
      <c r="B13" s="64"/>
      <c r="C13" s="65"/>
      <c r="D13" s="64"/>
      <c r="E13" s="65"/>
      <c r="F13" s="64"/>
      <c r="G13" s="65"/>
      <c r="H13" s="66"/>
      <c r="I13" s="67"/>
      <c r="J13" s="53"/>
      <c r="K13" s="54"/>
      <c r="L13" s="55"/>
      <c r="M13" s="9"/>
      <c r="N13" s="8"/>
      <c r="O13" s="57"/>
      <c r="P13" s="68"/>
      <c r="Q13" s="56"/>
      <c r="R13" s="62"/>
    </row>
    <row r="14" spans="1:18" ht="12.75">
      <c r="A14" s="52" t="s">
        <v>207</v>
      </c>
      <c r="B14" s="37">
        <v>1230</v>
      </c>
      <c r="C14" s="38">
        <v>0.086</v>
      </c>
      <c r="D14" s="37">
        <v>878</v>
      </c>
      <c r="E14" s="38">
        <v>0.173</v>
      </c>
      <c r="F14" s="37">
        <v>6565</v>
      </c>
      <c r="G14" s="38">
        <v>0.194</v>
      </c>
      <c r="H14" s="59">
        <v>0.151</v>
      </c>
      <c r="I14" s="48"/>
      <c r="J14" s="60">
        <f>ROUND(H14,4)</f>
        <v>0.151</v>
      </c>
      <c r="K14" s="138">
        <f>$K$4*J14</f>
        <v>126937.999</v>
      </c>
      <c r="L14" s="139"/>
      <c r="N14" s="8">
        <v>0.1704</v>
      </c>
      <c r="O14" s="57">
        <v>121975.2168</v>
      </c>
      <c r="P14" s="58"/>
      <c r="Q14" s="61">
        <f>J14-N14</f>
        <v>-0.0194</v>
      </c>
      <c r="R14" s="62">
        <f>K14-O14</f>
        <v>4962.7822000000015</v>
      </c>
    </row>
    <row r="15" spans="1:18" ht="12.75">
      <c r="A15" s="56"/>
      <c r="B15" s="64"/>
      <c r="C15" s="65"/>
      <c r="D15" s="64"/>
      <c r="E15" s="65"/>
      <c r="F15" s="64"/>
      <c r="G15" s="65"/>
      <c r="H15" s="66"/>
      <c r="I15" s="67"/>
      <c r="J15" s="53"/>
      <c r="K15" s="54"/>
      <c r="L15" s="55"/>
      <c r="M15" s="9"/>
      <c r="N15" s="8"/>
      <c r="O15" s="57"/>
      <c r="P15" s="68"/>
      <c r="Q15" s="56"/>
      <c r="R15" s="62"/>
    </row>
    <row r="16" spans="1:18" ht="12.75">
      <c r="A16" s="52" t="s">
        <v>298</v>
      </c>
      <c r="B16" s="37">
        <v>5727</v>
      </c>
      <c r="C16" s="38">
        <v>0.4</v>
      </c>
      <c r="D16" s="37">
        <v>1238</v>
      </c>
      <c r="E16" s="38">
        <v>0.244</v>
      </c>
      <c r="F16" s="37">
        <v>6836</v>
      </c>
      <c r="G16" s="38">
        <v>0.202</v>
      </c>
      <c r="H16" s="59">
        <v>0.2821</v>
      </c>
      <c r="I16" s="48"/>
      <c r="J16" s="60">
        <f>ROUND(H16,4)</f>
        <v>0.2821</v>
      </c>
      <c r="K16" s="138">
        <f>$K$4*J16</f>
        <v>237147.0829</v>
      </c>
      <c r="L16" s="139"/>
      <c r="N16" s="8">
        <v>0.2476</v>
      </c>
      <c r="O16" s="57">
        <v>177236.2892</v>
      </c>
      <c r="P16" s="58"/>
      <c r="Q16" s="61">
        <f>J16-N16</f>
        <v>0.03450000000000003</v>
      </c>
      <c r="R16" s="62">
        <f>K16-O16</f>
        <v>59910.79370000001</v>
      </c>
    </row>
    <row r="17" spans="1:18" ht="12.75">
      <c r="A17" s="36"/>
      <c r="B17" s="37"/>
      <c r="C17" s="38"/>
      <c r="D17" s="37"/>
      <c r="E17" s="38"/>
      <c r="F17" s="37"/>
      <c r="G17" s="38"/>
      <c r="H17" s="59"/>
      <c r="I17" s="39"/>
      <c r="J17" s="53"/>
      <c r="K17" s="54"/>
      <c r="L17" s="55"/>
      <c r="N17" s="8"/>
      <c r="O17" s="57"/>
      <c r="P17" s="41"/>
      <c r="Q17" s="56"/>
      <c r="R17" s="62"/>
    </row>
    <row r="18" spans="1:18" ht="12.75">
      <c r="A18" s="52" t="s">
        <v>468</v>
      </c>
      <c r="B18" s="37">
        <v>21</v>
      </c>
      <c r="C18" s="38">
        <v>0.00147</v>
      </c>
      <c r="D18" s="37">
        <v>60</v>
      </c>
      <c r="E18" s="38">
        <v>0.012</v>
      </c>
      <c r="F18" s="37">
        <v>299</v>
      </c>
      <c r="G18" s="38">
        <v>0.009</v>
      </c>
      <c r="H18" s="59">
        <v>0.0074</v>
      </c>
      <c r="I18" s="48"/>
      <c r="J18" s="60">
        <f>ROUND(H18,4)</f>
        <v>0.0074</v>
      </c>
      <c r="K18" s="138">
        <f>$K$4*J18</f>
        <v>6220.8026</v>
      </c>
      <c r="L18" s="139"/>
      <c r="N18" s="8">
        <v>0.0072</v>
      </c>
      <c r="O18" s="57">
        <v>5153.8823999999995</v>
      </c>
      <c r="P18" s="58"/>
      <c r="Q18" s="61">
        <f>J18-N18</f>
        <v>0.00020000000000000052</v>
      </c>
      <c r="R18" s="62">
        <f>K18-O18</f>
        <v>1066.9202000000005</v>
      </c>
    </row>
    <row r="19" spans="1:18" ht="12.75">
      <c r="A19" s="36"/>
      <c r="B19" s="37"/>
      <c r="C19" s="38"/>
      <c r="D19" s="37"/>
      <c r="E19" s="38"/>
      <c r="F19" s="37"/>
      <c r="G19" s="38"/>
      <c r="H19" s="59"/>
      <c r="I19" s="39"/>
      <c r="J19" s="53"/>
      <c r="K19" s="54"/>
      <c r="L19" s="55"/>
      <c r="N19" s="8"/>
      <c r="O19" s="57"/>
      <c r="P19" s="41"/>
      <c r="Q19" s="56"/>
      <c r="R19" s="62"/>
    </row>
    <row r="20" spans="1:18" ht="12.75">
      <c r="A20" s="52" t="s">
        <v>480</v>
      </c>
      <c r="B20" s="37">
        <v>148</v>
      </c>
      <c r="C20" s="38">
        <v>0.01</v>
      </c>
      <c r="D20" s="37">
        <v>233</v>
      </c>
      <c r="E20" s="38">
        <v>0.046</v>
      </c>
      <c r="F20" s="37">
        <v>2297</v>
      </c>
      <c r="G20" s="38">
        <v>0.068</v>
      </c>
      <c r="H20" s="59">
        <v>0.0414</v>
      </c>
      <c r="I20" s="48"/>
      <c r="J20" s="60">
        <f>ROUND(H20,4)</f>
        <v>0.0414</v>
      </c>
      <c r="K20" s="138">
        <f>$K$4*J20</f>
        <v>34802.8686</v>
      </c>
      <c r="L20" s="139"/>
      <c r="N20" s="8">
        <v>0.0307</v>
      </c>
      <c r="O20" s="57">
        <v>21975.5819</v>
      </c>
      <c r="P20" s="41"/>
      <c r="Q20" s="61">
        <f>J20-N20</f>
        <v>0.010699999999999998</v>
      </c>
      <c r="R20" s="62">
        <f>K20-O20</f>
        <v>12827.2867</v>
      </c>
    </row>
    <row r="21" spans="1:18" ht="12.75">
      <c r="A21" s="63"/>
      <c r="B21" s="37"/>
      <c r="C21" s="38"/>
      <c r="D21" s="37"/>
      <c r="E21" s="38"/>
      <c r="F21" s="37"/>
      <c r="G21" s="38"/>
      <c r="H21" s="59"/>
      <c r="I21" s="39"/>
      <c r="J21" s="53"/>
      <c r="K21" s="54"/>
      <c r="L21" s="55"/>
      <c r="N21" s="8"/>
      <c r="O21" s="57"/>
      <c r="P21" s="41"/>
      <c r="Q21" s="56"/>
      <c r="R21" s="62"/>
    </row>
    <row r="22" spans="1:18" ht="12.75">
      <c r="A22" s="52" t="s">
        <v>511</v>
      </c>
      <c r="B22" s="37">
        <v>3689</v>
      </c>
      <c r="C22" s="38">
        <v>0.258</v>
      </c>
      <c r="D22" s="37">
        <v>1017</v>
      </c>
      <c r="E22" s="38">
        <v>0.2</v>
      </c>
      <c r="F22" s="37">
        <v>5915</v>
      </c>
      <c r="G22" s="38">
        <v>0.175</v>
      </c>
      <c r="H22" s="59">
        <v>0.211</v>
      </c>
      <c r="I22" s="48"/>
      <c r="J22" s="60">
        <f>ROUND(H22,4)</f>
        <v>0.211</v>
      </c>
      <c r="K22" s="138">
        <f>$K$4*J22</f>
        <v>177376.93899999998</v>
      </c>
      <c r="L22" s="139"/>
      <c r="N22" s="8">
        <v>0.2415</v>
      </c>
      <c r="O22" s="57">
        <v>172869.8055</v>
      </c>
      <c r="P22" s="58"/>
      <c r="Q22" s="61">
        <f>J22-N22</f>
        <v>-0.0305</v>
      </c>
      <c r="R22" s="62">
        <f>K22-O22</f>
        <v>4507.133499999996</v>
      </c>
    </row>
    <row r="23" spans="1:18" ht="12.75">
      <c r="A23" s="36"/>
      <c r="B23" s="37"/>
      <c r="C23" s="38"/>
      <c r="D23" s="37"/>
      <c r="E23" s="38"/>
      <c r="F23" s="37"/>
      <c r="G23" s="38"/>
      <c r="H23" s="59"/>
      <c r="I23" s="39"/>
      <c r="J23" s="53"/>
      <c r="K23" s="54"/>
      <c r="L23" s="55"/>
      <c r="N23" s="8"/>
      <c r="O23" s="57"/>
      <c r="P23" s="41"/>
      <c r="Q23" s="56"/>
      <c r="R23" s="62"/>
    </row>
    <row r="24" spans="1:18" ht="12.75">
      <c r="A24" s="52" t="s">
        <v>550</v>
      </c>
      <c r="B24" s="37">
        <v>604</v>
      </c>
      <c r="C24" s="38">
        <v>0.042</v>
      </c>
      <c r="D24" s="37">
        <v>497</v>
      </c>
      <c r="E24" s="38">
        <v>0.098</v>
      </c>
      <c r="F24" s="37">
        <v>3015</v>
      </c>
      <c r="G24" s="38">
        <v>0.089</v>
      </c>
      <c r="H24" s="59">
        <v>0.0764</v>
      </c>
      <c r="I24" s="48"/>
      <c r="J24" s="60">
        <f>ROUND(H24,4)</f>
        <v>0.0764</v>
      </c>
      <c r="K24" s="138">
        <f>$K$4*J24</f>
        <v>64225.5836</v>
      </c>
      <c r="L24" s="139"/>
      <c r="N24" s="8">
        <v>0.0698</v>
      </c>
      <c r="O24" s="57">
        <v>49964.0266</v>
      </c>
      <c r="P24" s="58"/>
      <c r="Q24" s="61">
        <f>J24-N24</f>
        <v>0.006599999999999995</v>
      </c>
      <c r="R24" s="62">
        <f>K24-O24</f>
        <v>14261.557</v>
      </c>
    </row>
    <row r="25" spans="1:18" ht="13.5" thickBot="1">
      <c r="A25" s="69"/>
      <c r="B25" s="70"/>
      <c r="C25" s="71"/>
      <c r="D25" s="70"/>
      <c r="E25" s="71"/>
      <c r="F25" s="70"/>
      <c r="G25" s="71"/>
      <c r="H25" s="72"/>
      <c r="I25" s="72"/>
      <c r="J25" s="73"/>
      <c r="K25" s="74"/>
      <c r="L25" s="75"/>
      <c r="N25" s="76"/>
      <c r="O25" s="77"/>
      <c r="P25" s="78"/>
      <c r="Q25" s="76"/>
      <c r="R25" s="79"/>
    </row>
    <row r="26" spans="2:15" ht="13.5" thickBot="1">
      <c r="B26" s="80"/>
      <c r="C26" s="81"/>
      <c r="D26" s="80"/>
      <c r="E26" s="81"/>
      <c r="F26" s="6"/>
      <c r="G26" s="81"/>
      <c r="H26" s="81"/>
      <c r="I26" s="82"/>
      <c r="J26" s="83"/>
      <c r="K26" s="84"/>
      <c r="N26" s="9"/>
      <c r="O26" s="85"/>
    </row>
    <row r="27" spans="1:18" ht="13.5" thickBot="1">
      <c r="A27" s="140" t="s">
        <v>607</v>
      </c>
      <c r="B27" s="141"/>
      <c r="C27" s="141"/>
      <c r="D27" s="141"/>
      <c r="E27" s="141"/>
      <c r="F27" s="86"/>
      <c r="G27" s="87"/>
      <c r="H27" s="88"/>
      <c r="I27" s="88"/>
      <c r="J27" s="89"/>
      <c r="K27" s="118">
        <v>0</v>
      </c>
      <c r="N27" s="90"/>
      <c r="O27" s="91">
        <v>0</v>
      </c>
      <c r="P27" s="92"/>
      <c r="Q27" s="90"/>
      <c r="R27" s="91">
        <f>K27-O27</f>
        <v>0</v>
      </c>
    </row>
    <row r="28" spans="1:18" ht="13.5" thickBot="1">
      <c r="A28" s="93"/>
      <c r="B28" s="37"/>
      <c r="C28" s="38"/>
      <c r="D28" s="37"/>
      <c r="E28" s="38"/>
      <c r="F28" s="37"/>
      <c r="G28" s="38"/>
      <c r="H28" s="39"/>
      <c r="I28" s="39"/>
      <c r="J28" s="94"/>
      <c r="K28" s="95"/>
      <c r="N28" s="41"/>
      <c r="O28" s="95"/>
      <c r="P28" s="41"/>
      <c r="Q28" s="41"/>
      <c r="R28" s="96"/>
    </row>
    <row r="29" spans="1:12" ht="12.75">
      <c r="A29" s="97" t="s">
        <v>602</v>
      </c>
      <c r="B29" s="98" t="s">
        <v>4</v>
      </c>
      <c r="C29" s="99" t="s">
        <v>5</v>
      </c>
      <c r="D29" s="98" t="s">
        <v>605</v>
      </c>
      <c r="E29" s="99" t="s">
        <v>5</v>
      </c>
      <c r="F29" s="98" t="s">
        <v>605</v>
      </c>
      <c r="G29" s="99" t="s">
        <v>5</v>
      </c>
      <c r="H29" s="100" t="s">
        <v>7</v>
      </c>
      <c r="I29" s="82"/>
      <c r="J29" s="101"/>
      <c r="K29" s="84"/>
      <c r="L29" s="137"/>
    </row>
    <row r="30" spans="1:11" ht="13.5" thickBot="1">
      <c r="A30" s="102" t="s">
        <v>8</v>
      </c>
      <c r="B30" s="103" t="s">
        <v>12</v>
      </c>
      <c r="C30" s="38" t="s">
        <v>13</v>
      </c>
      <c r="D30" s="103" t="s">
        <v>14</v>
      </c>
      <c r="E30" s="38" t="s">
        <v>13</v>
      </c>
      <c r="F30" s="103" t="s">
        <v>606</v>
      </c>
      <c r="G30" s="38" t="s">
        <v>13</v>
      </c>
      <c r="H30" s="45" t="s">
        <v>16</v>
      </c>
      <c r="I30" s="82"/>
      <c r="J30" s="101"/>
      <c r="K30" s="84"/>
    </row>
    <row r="31" spans="1:11" ht="12.75">
      <c r="A31" s="104"/>
      <c r="B31" s="98"/>
      <c r="C31" s="99"/>
      <c r="D31" s="98"/>
      <c r="E31" s="99"/>
      <c r="F31" s="98"/>
      <c r="G31" s="99"/>
      <c r="H31" s="105"/>
      <c r="I31" s="82"/>
      <c r="J31" s="101"/>
      <c r="K31" s="106"/>
    </row>
    <row r="32" spans="1:18" ht="12.75">
      <c r="A32" s="107" t="s">
        <v>51</v>
      </c>
      <c r="B32" s="37">
        <v>1333</v>
      </c>
      <c r="C32" s="38">
        <v>0.09957421378949727</v>
      </c>
      <c r="D32" s="37">
        <v>445</v>
      </c>
      <c r="E32" s="38">
        <v>0.08257561699758768</v>
      </c>
      <c r="F32" s="37">
        <v>3371</v>
      </c>
      <c r="G32" s="38">
        <v>0.10131337721275509</v>
      </c>
      <c r="H32" s="108">
        <v>0.09448773599994668</v>
      </c>
      <c r="I32" s="58"/>
      <c r="J32" s="37"/>
      <c r="K32" s="38"/>
      <c r="L32" s="37"/>
      <c r="M32" s="38"/>
      <c r="N32" s="37"/>
      <c r="O32" s="38"/>
      <c r="P32" s="48"/>
      <c r="Q32" s="58"/>
      <c r="R32" s="37"/>
    </row>
    <row r="33" spans="1:18" ht="12.75">
      <c r="A33" s="107"/>
      <c r="B33" s="37"/>
      <c r="C33" s="38"/>
      <c r="D33" s="37"/>
      <c r="E33" s="38"/>
      <c r="F33" s="37"/>
      <c r="G33" s="38"/>
      <c r="H33" s="108"/>
      <c r="I33" s="58"/>
      <c r="J33" s="37"/>
      <c r="K33" s="38"/>
      <c r="L33" s="37"/>
      <c r="M33" s="38"/>
      <c r="N33" s="37"/>
      <c r="O33" s="38"/>
      <c r="P33" s="48"/>
      <c r="Q33" s="58"/>
      <c r="R33" s="37"/>
    </row>
    <row r="34" spans="1:18" ht="12.75">
      <c r="A34" s="107" t="s">
        <v>608</v>
      </c>
      <c r="B34" s="37">
        <v>106</v>
      </c>
      <c r="C34" s="38">
        <v>0.007918129528647195</v>
      </c>
      <c r="D34" s="37">
        <v>174</v>
      </c>
      <c r="E34" s="38">
        <v>0.032287994061978104</v>
      </c>
      <c r="F34" s="37">
        <v>1598</v>
      </c>
      <c r="G34" s="38">
        <v>0.04802692874102125</v>
      </c>
      <c r="H34" s="108">
        <v>0.029411017443882182</v>
      </c>
      <c r="I34" s="58"/>
      <c r="J34" s="37"/>
      <c r="K34" s="38"/>
      <c r="L34" s="37"/>
      <c r="M34" s="38"/>
      <c r="N34" s="37"/>
      <c r="O34" s="38"/>
      <c r="P34" s="48"/>
      <c r="Q34" s="58"/>
      <c r="R34" s="37"/>
    </row>
    <row r="35" spans="1:18" ht="12.75">
      <c r="A35" s="109"/>
      <c r="B35" s="37"/>
      <c r="C35" s="38"/>
      <c r="D35" s="37"/>
      <c r="E35" s="38"/>
      <c r="F35" s="37"/>
      <c r="G35" s="38"/>
      <c r="H35" s="108"/>
      <c r="I35" s="110"/>
      <c r="J35" s="37"/>
      <c r="K35" s="38"/>
      <c r="L35" s="37"/>
      <c r="M35" s="38"/>
      <c r="N35" s="37"/>
      <c r="O35" s="38"/>
      <c r="P35" s="48"/>
      <c r="Q35" s="110"/>
      <c r="R35" s="37"/>
    </row>
    <row r="36" spans="1:18" ht="12.75">
      <c r="A36" s="107" t="s">
        <v>130</v>
      </c>
      <c r="B36" s="37">
        <v>1342</v>
      </c>
      <c r="C36" s="38">
        <v>0.10024650780608052</v>
      </c>
      <c r="D36" s="37">
        <v>616</v>
      </c>
      <c r="E36" s="38">
        <v>0.11430692150677306</v>
      </c>
      <c r="F36" s="37">
        <v>3733</v>
      </c>
      <c r="G36" s="38">
        <v>0.11219306945571485</v>
      </c>
      <c r="H36" s="108">
        <v>0.1089154995895228</v>
      </c>
      <c r="I36" s="58"/>
      <c r="J36" s="37"/>
      <c r="K36" s="38"/>
      <c r="L36" s="37"/>
      <c r="M36" s="38"/>
      <c r="N36" s="37"/>
      <c r="O36" s="38"/>
      <c r="P36" s="48"/>
      <c r="Q36" s="58"/>
      <c r="R36" s="37"/>
    </row>
    <row r="37" spans="1:18" ht="12.75">
      <c r="A37" s="111"/>
      <c r="B37" s="64"/>
      <c r="C37" s="65"/>
      <c r="D37" s="64"/>
      <c r="E37" s="65"/>
      <c r="F37" s="64"/>
      <c r="G37" s="65"/>
      <c r="H37" s="112"/>
      <c r="I37" s="68"/>
      <c r="J37" s="64"/>
      <c r="K37" s="65"/>
      <c r="L37" s="64"/>
      <c r="M37" s="65"/>
      <c r="N37" s="64"/>
      <c r="O37" s="65"/>
      <c r="P37" s="67"/>
      <c r="Q37" s="68"/>
      <c r="R37" s="64"/>
    </row>
    <row r="38" spans="1:18" ht="12.75">
      <c r="A38" s="107" t="s">
        <v>207</v>
      </c>
      <c r="B38" s="37">
        <v>1589</v>
      </c>
      <c r="C38" s="38">
        <v>0.11869724359453201</v>
      </c>
      <c r="D38" s="37">
        <v>1086</v>
      </c>
      <c r="E38" s="38">
        <v>0.20152161811096678</v>
      </c>
      <c r="F38" s="37">
        <v>6351</v>
      </c>
      <c r="G38" s="38">
        <v>0.19087548462717518</v>
      </c>
      <c r="H38" s="108">
        <v>0.17036478211089134</v>
      </c>
      <c r="I38" s="58"/>
      <c r="J38" s="37"/>
      <c r="K38" s="38"/>
      <c r="L38" s="37"/>
      <c r="M38" s="38"/>
      <c r="N38" s="37"/>
      <c r="O38" s="38"/>
      <c r="P38" s="48"/>
      <c r="Q38" s="58"/>
      <c r="R38" s="37"/>
    </row>
    <row r="39" spans="1:18" ht="12.75">
      <c r="A39" s="111"/>
      <c r="B39" s="64"/>
      <c r="C39" s="65"/>
      <c r="D39" s="64"/>
      <c r="E39" s="65"/>
      <c r="F39" s="64"/>
      <c r="G39" s="65"/>
      <c r="H39" s="112"/>
      <c r="I39" s="68"/>
      <c r="J39" s="64"/>
      <c r="K39" s="65"/>
      <c r="L39" s="64"/>
      <c r="M39" s="65"/>
      <c r="N39" s="64"/>
      <c r="O39" s="65"/>
      <c r="P39" s="67"/>
      <c r="Q39" s="68"/>
      <c r="R39" s="64"/>
    </row>
    <row r="40" spans="1:18" ht="12.75">
      <c r="A40" s="107" t="s">
        <v>298</v>
      </c>
      <c r="B40" s="37">
        <v>4098</v>
      </c>
      <c r="C40" s="38">
        <v>0.3061178755509076</v>
      </c>
      <c r="D40" s="37">
        <v>1226</v>
      </c>
      <c r="E40" s="38">
        <v>0.22750046390796066</v>
      </c>
      <c r="F40" s="37">
        <v>6963</v>
      </c>
      <c r="G40" s="38">
        <v>0.20926877648543865</v>
      </c>
      <c r="H40" s="108">
        <v>0.2476290386481023</v>
      </c>
      <c r="I40" s="58"/>
      <c r="J40" s="37"/>
      <c r="K40" s="38"/>
      <c r="L40" s="37"/>
      <c r="M40" s="38"/>
      <c r="N40" s="37"/>
      <c r="O40" s="38"/>
      <c r="P40" s="48"/>
      <c r="Q40" s="58"/>
      <c r="R40" s="37"/>
    </row>
    <row r="41" spans="1:18" ht="12.75">
      <c r="A41" s="113"/>
      <c r="B41" s="37"/>
      <c r="C41" s="38"/>
      <c r="D41" s="37"/>
      <c r="E41" s="38"/>
      <c r="F41" s="37"/>
      <c r="G41" s="38"/>
      <c r="H41" s="108"/>
      <c r="I41" s="41"/>
      <c r="J41" s="37"/>
      <c r="K41" s="38"/>
      <c r="L41" s="37"/>
      <c r="M41" s="38"/>
      <c r="N41" s="37"/>
      <c r="O41" s="38"/>
      <c r="P41" s="39"/>
      <c r="Q41" s="41"/>
      <c r="R41" s="37"/>
    </row>
    <row r="42" spans="1:18" ht="12.75">
      <c r="A42" s="107" t="s">
        <v>468</v>
      </c>
      <c r="B42" s="37">
        <v>26</v>
      </c>
      <c r="C42" s="38">
        <v>0.0019421827145738404</v>
      </c>
      <c r="D42" s="37">
        <v>48</v>
      </c>
      <c r="E42" s="38">
        <v>0.008907032844683615</v>
      </c>
      <c r="F42" s="37">
        <v>359</v>
      </c>
      <c r="G42" s="38">
        <v>0.010789529047576112</v>
      </c>
      <c r="H42" s="108">
        <v>0.007212914868944522</v>
      </c>
      <c r="I42" s="58"/>
      <c r="J42" s="37"/>
      <c r="K42" s="38"/>
      <c r="L42" s="37"/>
      <c r="M42" s="38"/>
      <c r="N42" s="37"/>
      <c r="O42" s="38"/>
      <c r="P42" s="48"/>
      <c r="Q42" s="58"/>
      <c r="R42" s="37"/>
    </row>
    <row r="43" spans="1:18" ht="12.75">
      <c r="A43" s="113"/>
      <c r="B43" s="37"/>
      <c r="C43" s="38"/>
      <c r="D43" s="37"/>
      <c r="E43" s="38"/>
      <c r="F43" s="37"/>
      <c r="G43" s="38"/>
      <c r="H43" s="108"/>
      <c r="I43" s="41"/>
      <c r="J43" s="37"/>
      <c r="K43" s="38"/>
      <c r="L43" s="37"/>
      <c r="M43" s="38"/>
      <c r="N43" s="37"/>
      <c r="O43" s="38"/>
      <c r="P43" s="39"/>
      <c r="Q43" s="41"/>
      <c r="R43" s="37"/>
    </row>
    <row r="44" spans="1:18" ht="12.75">
      <c r="A44" s="107" t="s">
        <v>480</v>
      </c>
      <c r="B44" s="37">
        <v>110</v>
      </c>
      <c r="C44" s="38">
        <v>0.008216926869350863</v>
      </c>
      <c r="D44" s="37">
        <v>99</v>
      </c>
      <c r="E44" s="38">
        <v>0.018370755242159954</v>
      </c>
      <c r="F44" s="37">
        <v>2179</v>
      </c>
      <c r="G44" s="38">
        <v>0.06548853424698704</v>
      </c>
      <c r="H44" s="108">
        <v>0.030692072119499286</v>
      </c>
      <c r="I44" s="58"/>
      <c r="J44" s="37"/>
      <c r="K44" s="38"/>
      <c r="L44" s="37"/>
      <c r="M44" s="38"/>
      <c r="N44" s="37"/>
      <c r="O44" s="38"/>
      <c r="P44" s="48"/>
      <c r="Q44" s="58"/>
      <c r="R44" s="37"/>
    </row>
    <row r="45" spans="1:18" ht="12.75">
      <c r="A45" s="109"/>
      <c r="B45" s="37"/>
      <c r="C45" s="38"/>
      <c r="D45" s="37"/>
      <c r="E45" s="38"/>
      <c r="F45" s="37"/>
      <c r="G45" s="38"/>
      <c r="H45" s="108"/>
      <c r="I45" s="110"/>
      <c r="J45" s="37"/>
      <c r="K45" s="38"/>
      <c r="L45" s="37"/>
      <c r="M45" s="38"/>
      <c r="N45" s="37"/>
      <c r="O45" s="38"/>
      <c r="P45" s="39"/>
      <c r="Q45" s="110"/>
      <c r="R45" s="37"/>
    </row>
    <row r="46" spans="1:18" ht="12.75">
      <c r="A46" s="107" t="s">
        <v>511</v>
      </c>
      <c r="B46" s="37">
        <v>4336</v>
      </c>
      <c r="C46" s="38">
        <v>0.32389631732277585</v>
      </c>
      <c r="D46" s="37">
        <v>1238</v>
      </c>
      <c r="E46" s="38">
        <v>0.22972722211913157</v>
      </c>
      <c r="F46" s="37">
        <v>5688</v>
      </c>
      <c r="G46" s="38">
        <v>0.17094941844738978</v>
      </c>
      <c r="H46" s="108">
        <v>0.2415243192964324</v>
      </c>
      <c r="I46" s="58"/>
      <c r="J46" s="37"/>
      <c r="K46" s="38"/>
      <c r="L46" s="37"/>
      <c r="M46" s="38"/>
      <c r="N46" s="37"/>
      <c r="O46" s="38"/>
      <c r="P46" s="48"/>
      <c r="Q46" s="58"/>
      <c r="R46" s="37"/>
    </row>
    <row r="47" spans="1:18" ht="12.75">
      <c r="A47" s="113"/>
      <c r="B47" s="37"/>
      <c r="C47" s="38"/>
      <c r="D47" s="37"/>
      <c r="E47" s="38"/>
      <c r="F47" s="37"/>
      <c r="G47" s="38"/>
      <c r="H47" s="108"/>
      <c r="I47" s="41"/>
      <c r="J47" s="37"/>
      <c r="K47" s="38"/>
      <c r="L47" s="37"/>
      <c r="M47" s="38"/>
      <c r="N47" s="37"/>
      <c r="O47" s="38"/>
      <c r="P47" s="39"/>
      <c r="Q47" s="41"/>
      <c r="R47" s="37"/>
    </row>
    <row r="48" spans="1:18" ht="13.5" thickBot="1">
      <c r="A48" s="114" t="s">
        <v>550</v>
      </c>
      <c r="B48" s="37">
        <v>447</v>
      </c>
      <c r="C48" s="38">
        <v>0.03339060282363487</v>
      </c>
      <c r="D48" s="37">
        <v>457</v>
      </c>
      <c r="E48" s="38">
        <v>0.08480237520875858</v>
      </c>
      <c r="F48" s="37">
        <v>3031</v>
      </c>
      <c r="G48" s="38">
        <v>0.09109488173594206</v>
      </c>
      <c r="H48" s="108">
        <v>0.0697626199227785</v>
      </c>
      <c r="I48" s="58"/>
      <c r="J48" s="37"/>
      <c r="K48" s="38"/>
      <c r="L48" s="37"/>
      <c r="M48" s="38"/>
      <c r="N48" s="37"/>
      <c r="O48" s="38"/>
      <c r="P48" s="48"/>
      <c r="Q48" s="58"/>
      <c r="R48" s="37"/>
    </row>
    <row r="49" spans="1:18" ht="13.5" thickBot="1">
      <c r="A49" s="115"/>
      <c r="B49" s="70"/>
      <c r="C49" s="71"/>
      <c r="D49" s="70"/>
      <c r="E49" s="71"/>
      <c r="F49" s="70"/>
      <c r="G49" s="71"/>
      <c r="H49" s="116"/>
      <c r="I49" s="58"/>
      <c r="J49" s="37"/>
      <c r="K49" s="38"/>
      <c r="L49" s="37"/>
      <c r="M49" s="38"/>
      <c r="N49" s="37"/>
      <c r="O49" s="38"/>
      <c r="P49" s="48"/>
      <c r="Q49" s="58"/>
      <c r="R49" s="37"/>
    </row>
  </sheetData>
  <sheetProtection/>
  <mergeCells count="20">
    <mergeCell ref="J2:J3"/>
    <mergeCell ref="K2:L3"/>
    <mergeCell ref="N2:N3"/>
    <mergeCell ref="O2:O3"/>
    <mergeCell ref="Q2:Q3"/>
    <mergeCell ref="R2:R3"/>
    <mergeCell ref="K4:L4"/>
    <mergeCell ref="K8:L8"/>
    <mergeCell ref="K10:L10"/>
    <mergeCell ref="K12:L12"/>
    <mergeCell ref="K6:L6"/>
    <mergeCell ref="N1:R1"/>
    <mergeCell ref="J1:L1"/>
    <mergeCell ref="K22:L22"/>
    <mergeCell ref="K24:L24"/>
    <mergeCell ref="A27:E27"/>
    <mergeCell ref="K14:L14"/>
    <mergeCell ref="K16:L16"/>
    <mergeCell ref="K18:L18"/>
    <mergeCell ref="K20:L20"/>
  </mergeCells>
  <printOptions/>
  <pageMargins left="0.25" right="0.25" top="0.25" bottom="0.25" header="0.5" footer="0.5"/>
  <pageSetup fitToHeight="1" fitToWidth="1" horizontalDpi="600" verticalDpi="600" orientation="landscape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pane xSplit="1" ySplit="5" topLeftCell="L21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35.140625" style="9" bestFit="1" customWidth="1"/>
    <col min="2" max="2" width="11.7109375" style="10" hidden="1" customWidth="1"/>
    <col min="3" max="4" width="4.00390625" style="11" hidden="1" customWidth="1"/>
    <col min="5" max="5" width="7.28125" style="4" hidden="1" customWidth="1"/>
    <col min="6" max="6" width="7.28125" style="5" hidden="1" customWidth="1"/>
    <col min="7" max="7" width="11.7109375" style="6" hidden="1" customWidth="1"/>
    <col min="8" max="8" width="7.00390625" style="5" hidden="1" customWidth="1"/>
    <col min="9" max="9" width="15.00390625" style="6" hidden="1" customWidth="1"/>
    <col min="10" max="10" width="7.00390625" style="5" hidden="1" customWidth="1"/>
    <col min="11" max="11" width="8.57421875" style="7" hidden="1" customWidth="1"/>
    <col min="12" max="12" width="6.7109375" style="9" customWidth="1"/>
    <col min="13" max="13" width="9.7109375" style="9" customWidth="1"/>
    <col min="14" max="14" width="6.7109375" style="9" customWidth="1"/>
    <col min="15" max="16384" width="6.8515625" style="9" customWidth="1"/>
  </cols>
  <sheetData>
    <row r="1" spans="1:4" ht="12.75" customHeight="1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2.75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550</v>
      </c>
      <c r="B6" s="2"/>
      <c r="C6" s="3"/>
      <c r="D6" s="3"/>
      <c r="L6" s="119"/>
      <c r="M6" s="123"/>
      <c r="N6" s="55"/>
    </row>
    <row r="7" spans="1:14" ht="12.75">
      <c r="A7" s="9" t="s">
        <v>551</v>
      </c>
      <c r="B7" s="10" t="s">
        <v>552</v>
      </c>
      <c r="E7" s="23">
        <f aca="true" t="shared" si="0" ref="E7:E31">C7+D7</f>
        <v>0</v>
      </c>
      <c r="F7" s="5">
        <f>+E7/E$32</f>
        <v>0</v>
      </c>
      <c r="H7" s="5">
        <f>+G7/G$32</f>
        <v>0</v>
      </c>
      <c r="I7" s="6">
        <f>148</f>
        <v>148</v>
      </c>
      <c r="J7" s="5">
        <f>+I7/I$32</f>
        <v>0.049087893864013264</v>
      </c>
      <c r="K7" s="15">
        <f aca="true" t="shared" si="1" ref="K7:K32">+(F7+H7+J7)/3</f>
        <v>0.01636263128800442</v>
      </c>
      <c r="L7" s="119"/>
      <c r="M7" s="123">
        <f>K7*$M$32</f>
        <v>1050.8995437037036</v>
      </c>
      <c r="N7" s="55"/>
    </row>
    <row r="8" spans="1:14" ht="12.75">
      <c r="A8" s="9" t="s">
        <v>553</v>
      </c>
      <c r="B8" s="10" t="s">
        <v>554</v>
      </c>
      <c r="C8" s="11">
        <f>1</f>
        <v>1</v>
      </c>
      <c r="D8" s="11">
        <f>1</f>
        <v>1</v>
      </c>
      <c r="E8" s="23">
        <f t="shared" si="0"/>
        <v>2</v>
      </c>
      <c r="F8" s="5">
        <f aca="true" t="shared" si="2" ref="F8:F31">+E8/E$32</f>
        <v>0.0033112582781456954</v>
      </c>
      <c r="G8" s="6">
        <f>37</f>
        <v>37</v>
      </c>
      <c r="H8" s="5">
        <f aca="true" t="shared" si="3" ref="H8:H31">+G8/G$32</f>
        <v>0.0744466800804829</v>
      </c>
      <c r="I8" s="6">
        <f>37</f>
        <v>37</v>
      </c>
      <c r="J8" s="5">
        <f aca="true" t="shared" si="4" ref="J8:J31">+I8/I$32</f>
        <v>0.012271973466003316</v>
      </c>
      <c r="K8" s="15">
        <f t="shared" si="1"/>
        <v>0.030009970608210635</v>
      </c>
      <c r="L8" s="119"/>
      <c r="M8" s="123">
        <f aca="true" t="shared" si="5" ref="M8:M31">K8*$M$32</f>
        <v>1927.4078761311748</v>
      </c>
      <c r="N8" s="55"/>
    </row>
    <row r="9" spans="1:14" ht="12.75">
      <c r="A9" s="6" t="s">
        <v>555</v>
      </c>
      <c r="B9" s="21" t="s">
        <v>556</v>
      </c>
      <c r="C9" s="11">
        <f>1</f>
        <v>1</v>
      </c>
      <c r="D9" s="11">
        <f>1</f>
        <v>1</v>
      </c>
      <c r="E9" s="23">
        <f t="shared" si="0"/>
        <v>2</v>
      </c>
      <c r="F9" s="5">
        <f t="shared" si="2"/>
        <v>0.0033112582781456954</v>
      </c>
      <c r="H9" s="5">
        <f t="shared" si="3"/>
        <v>0</v>
      </c>
      <c r="J9" s="5">
        <f t="shared" si="4"/>
        <v>0</v>
      </c>
      <c r="K9" s="15">
        <f t="shared" si="1"/>
        <v>0.0011037527593818985</v>
      </c>
      <c r="L9" s="119"/>
      <c r="M9" s="123">
        <f t="shared" si="5"/>
        <v>70.8891651214128</v>
      </c>
      <c r="N9" s="55"/>
    </row>
    <row r="10" spans="1:14" ht="12.75">
      <c r="A10" s="9" t="s">
        <v>557</v>
      </c>
      <c r="B10" s="10" t="s">
        <v>558</v>
      </c>
      <c r="E10" s="23">
        <f t="shared" si="0"/>
        <v>0</v>
      </c>
      <c r="F10" s="5">
        <f t="shared" si="2"/>
        <v>0</v>
      </c>
      <c r="G10" s="6">
        <f>24</f>
        <v>24</v>
      </c>
      <c r="H10" s="5">
        <f t="shared" si="3"/>
        <v>0.0482897384305835</v>
      </c>
      <c r="I10" s="6">
        <f>24</f>
        <v>24</v>
      </c>
      <c r="J10" s="5">
        <f t="shared" si="4"/>
        <v>0.007960199004975124</v>
      </c>
      <c r="K10" s="15">
        <f t="shared" si="1"/>
        <v>0.018749979145186207</v>
      </c>
      <c r="L10" s="119"/>
      <c r="M10" s="123">
        <f t="shared" si="5"/>
        <v>1204.2283530874133</v>
      </c>
      <c r="N10" s="55"/>
    </row>
    <row r="11" spans="1:14" ht="12.75">
      <c r="A11" s="9" t="s">
        <v>559</v>
      </c>
      <c r="B11" s="10" t="s">
        <v>560</v>
      </c>
      <c r="C11" s="11">
        <f>2</f>
        <v>2</v>
      </c>
      <c r="D11" s="11">
        <f>1</f>
        <v>1</v>
      </c>
      <c r="E11" s="23">
        <f t="shared" si="0"/>
        <v>3</v>
      </c>
      <c r="F11" s="5">
        <f t="shared" si="2"/>
        <v>0.004966887417218543</v>
      </c>
      <c r="H11" s="5">
        <f t="shared" si="3"/>
        <v>0</v>
      </c>
      <c r="I11" s="6">
        <f>4</f>
        <v>4</v>
      </c>
      <c r="J11" s="5">
        <f t="shared" si="4"/>
        <v>0.0013266998341625207</v>
      </c>
      <c r="K11" s="15">
        <f t="shared" si="1"/>
        <v>0.0020978624171270215</v>
      </c>
      <c r="L11" s="119"/>
      <c r="M11" s="123">
        <f t="shared" si="5"/>
        <v>134.7364380524896</v>
      </c>
      <c r="N11" s="55"/>
    </row>
    <row r="12" spans="1:14" ht="12.75">
      <c r="A12" s="9" t="s">
        <v>561</v>
      </c>
      <c r="B12" s="10" t="s">
        <v>562</v>
      </c>
      <c r="E12" s="23">
        <f t="shared" si="0"/>
        <v>0</v>
      </c>
      <c r="F12" s="5">
        <f t="shared" si="2"/>
        <v>0</v>
      </c>
      <c r="G12" s="6">
        <f>2</f>
        <v>2</v>
      </c>
      <c r="H12" s="5">
        <f t="shared" si="3"/>
        <v>0.004024144869215292</v>
      </c>
      <c r="I12" s="6">
        <f>80</f>
        <v>80</v>
      </c>
      <c r="J12" s="5">
        <f t="shared" si="4"/>
        <v>0.026533996683250415</v>
      </c>
      <c r="K12" s="15">
        <f t="shared" si="1"/>
        <v>0.010186047184155236</v>
      </c>
      <c r="L12" s="119"/>
      <c r="M12" s="123">
        <f t="shared" si="5"/>
        <v>654.2048249795067</v>
      </c>
      <c r="N12" s="55"/>
    </row>
    <row r="13" spans="1:14" ht="12.75">
      <c r="A13" s="9" t="s">
        <v>563</v>
      </c>
      <c r="B13" s="10" t="s">
        <v>564</v>
      </c>
      <c r="C13" s="11">
        <f>7</f>
        <v>7</v>
      </c>
      <c r="D13" s="11">
        <f>7</f>
        <v>7</v>
      </c>
      <c r="E13" s="23">
        <f t="shared" si="0"/>
        <v>14</v>
      </c>
      <c r="F13" s="5">
        <f t="shared" si="2"/>
        <v>0.023178807947019868</v>
      </c>
      <c r="G13" s="6">
        <f>1+1+1+23+22+1+1+1+1+1+1</f>
        <v>54</v>
      </c>
      <c r="H13" s="5">
        <f t="shared" si="3"/>
        <v>0.10865191146881288</v>
      </c>
      <c r="I13" s="6">
        <f>567</f>
        <v>567</v>
      </c>
      <c r="J13" s="5">
        <f t="shared" si="4"/>
        <v>0.1880597014925373</v>
      </c>
      <c r="K13" s="15">
        <f t="shared" si="1"/>
        <v>0.10663014030279001</v>
      </c>
      <c r="L13" s="119"/>
      <c r="M13" s="123">
        <f t="shared" si="5"/>
        <v>6848.382990296569</v>
      </c>
      <c r="N13" s="55"/>
    </row>
    <row r="14" spans="1:14" ht="12.75">
      <c r="A14" s="9" t="s">
        <v>565</v>
      </c>
      <c r="B14" s="10" t="s">
        <v>566</v>
      </c>
      <c r="C14" s="11">
        <f>2</f>
        <v>2</v>
      </c>
      <c r="D14" s="11">
        <f>2</f>
        <v>2</v>
      </c>
      <c r="E14" s="23">
        <f t="shared" si="0"/>
        <v>4</v>
      </c>
      <c r="F14" s="5">
        <f t="shared" si="2"/>
        <v>0.006622516556291391</v>
      </c>
      <c r="G14" s="6">
        <f>17</f>
        <v>17</v>
      </c>
      <c r="H14" s="5">
        <f t="shared" si="3"/>
        <v>0.03420523138832998</v>
      </c>
      <c r="I14" s="6">
        <f>32</f>
        <v>32</v>
      </c>
      <c r="J14" s="5">
        <f t="shared" si="4"/>
        <v>0.010613598673300166</v>
      </c>
      <c r="K14" s="15">
        <f t="shared" si="1"/>
        <v>0.01714711553930718</v>
      </c>
      <c r="L14" s="119"/>
      <c r="M14" s="123">
        <f t="shared" si="5"/>
        <v>1101.2835025686322</v>
      </c>
      <c r="N14" s="55"/>
    </row>
    <row r="15" spans="1:14" ht="12.75">
      <c r="A15" s="9" t="s">
        <v>567</v>
      </c>
      <c r="B15" s="10" t="s">
        <v>568</v>
      </c>
      <c r="E15" s="23">
        <f t="shared" si="0"/>
        <v>0</v>
      </c>
      <c r="F15" s="5">
        <f t="shared" si="2"/>
        <v>0</v>
      </c>
      <c r="H15" s="5">
        <f t="shared" si="3"/>
        <v>0</v>
      </c>
      <c r="I15" s="6">
        <f>3</f>
        <v>3</v>
      </c>
      <c r="J15" s="5">
        <f t="shared" si="4"/>
        <v>0.0009950248756218905</v>
      </c>
      <c r="K15" s="15">
        <f t="shared" si="1"/>
        <v>0.0003316749585406302</v>
      </c>
      <c r="L15" s="119"/>
      <c r="M15" s="123">
        <f t="shared" si="5"/>
        <v>21.302017777777777</v>
      </c>
      <c r="N15" s="55"/>
    </row>
    <row r="16" spans="1:14" ht="12.75">
      <c r="A16" s="9" t="s">
        <v>569</v>
      </c>
      <c r="B16" s="10" t="s">
        <v>570</v>
      </c>
      <c r="E16" s="23">
        <f t="shared" si="0"/>
        <v>0</v>
      </c>
      <c r="F16" s="5">
        <f t="shared" si="2"/>
        <v>0</v>
      </c>
      <c r="G16" s="6">
        <f>2+7+8+25</f>
        <v>42</v>
      </c>
      <c r="H16" s="5">
        <f t="shared" si="3"/>
        <v>0.08450704225352113</v>
      </c>
      <c r="I16" s="6">
        <f>44</f>
        <v>44</v>
      </c>
      <c r="J16" s="5">
        <f t="shared" si="4"/>
        <v>0.014593698175787729</v>
      </c>
      <c r="K16" s="15">
        <f t="shared" si="1"/>
        <v>0.03303358014310295</v>
      </c>
      <c r="L16" s="119"/>
      <c r="M16" s="123">
        <f t="shared" si="5"/>
        <v>2121.6009630881586</v>
      </c>
      <c r="N16" s="55"/>
    </row>
    <row r="17" spans="1:14" ht="12.75">
      <c r="A17" s="9" t="s">
        <v>571</v>
      </c>
      <c r="B17" s="10" t="s">
        <v>572</v>
      </c>
      <c r="E17" s="23">
        <f t="shared" si="0"/>
        <v>0</v>
      </c>
      <c r="F17" s="5">
        <f t="shared" si="2"/>
        <v>0</v>
      </c>
      <c r="H17" s="5">
        <f t="shared" si="3"/>
        <v>0</v>
      </c>
      <c r="I17" s="6">
        <f>5</f>
        <v>5</v>
      </c>
      <c r="J17" s="5">
        <f t="shared" si="4"/>
        <v>0.001658374792703151</v>
      </c>
      <c r="K17" s="15">
        <f t="shared" si="1"/>
        <v>0.000552791597567717</v>
      </c>
      <c r="L17" s="119"/>
      <c r="M17" s="123">
        <f t="shared" si="5"/>
        <v>35.50336296296296</v>
      </c>
      <c r="N17" s="55"/>
    </row>
    <row r="18" spans="1:14" ht="12.75">
      <c r="A18" s="9" t="s">
        <v>573</v>
      </c>
      <c r="B18" s="10" t="s">
        <v>574</v>
      </c>
      <c r="D18" s="11">
        <v>1</v>
      </c>
      <c r="E18" s="23">
        <f t="shared" si="0"/>
        <v>1</v>
      </c>
      <c r="F18" s="5">
        <f t="shared" si="2"/>
        <v>0.0016556291390728477</v>
      </c>
      <c r="H18" s="5">
        <f t="shared" si="3"/>
        <v>0</v>
      </c>
      <c r="J18" s="5">
        <f t="shared" si="4"/>
        <v>0</v>
      </c>
      <c r="K18" s="15">
        <f t="shared" si="1"/>
        <v>0.0005518763796909492</v>
      </c>
      <c r="L18" s="119"/>
      <c r="M18" s="123">
        <f t="shared" si="5"/>
        <v>35.4445825607064</v>
      </c>
      <c r="N18" s="55"/>
    </row>
    <row r="19" spans="1:14" ht="12.75">
      <c r="A19" s="9" t="s">
        <v>575</v>
      </c>
      <c r="B19" s="10" t="s">
        <v>576</v>
      </c>
      <c r="C19" s="11">
        <f>2</f>
        <v>2</v>
      </c>
      <c r="D19" s="11">
        <f>1</f>
        <v>1</v>
      </c>
      <c r="E19" s="23">
        <f t="shared" si="0"/>
        <v>3</v>
      </c>
      <c r="F19" s="5">
        <f t="shared" si="2"/>
        <v>0.004966887417218543</v>
      </c>
      <c r="G19" s="6">
        <v>3</v>
      </c>
      <c r="H19" s="5">
        <f t="shared" si="3"/>
        <v>0.006036217303822937</v>
      </c>
      <c r="I19" s="6">
        <f>41</f>
        <v>41</v>
      </c>
      <c r="J19" s="5">
        <f t="shared" si="4"/>
        <v>0.013598673300165837</v>
      </c>
      <c r="K19" s="15">
        <f t="shared" si="1"/>
        <v>0.008200592673735773</v>
      </c>
      <c r="L19" s="119"/>
      <c r="M19" s="123">
        <f t="shared" si="5"/>
        <v>526.6878503365645</v>
      </c>
      <c r="N19" s="55"/>
    </row>
    <row r="20" spans="1:14" ht="12.75">
      <c r="A20" s="9" t="s">
        <v>577</v>
      </c>
      <c r="B20" s="10" t="s">
        <v>578</v>
      </c>
      <c r="E20" s="23">
        <f t="shared" si="0"/>
        <v>0</v>
      </c>
      <c r="F20" s="5">
        <f t="shared" si="2"/>
        <v>0</v>
      </c>
      <c r="H20" s="5">
        <f t="shared" si="3"/>
        <v>0</v>
      </c>
      <c r="I20" s="6">
        <f>9</f>
        <v>9</v>
      </c>
      <c r="J20" s="5">
        <f t="shared" si="4"/>
        <v>0.0029850746268656717</v>
      </c>
      <c r="K20" s="15">
        <f t="shared" si="1"/>
        <v>0.0009950248756218905</v>
      </c>
      <c r="L20" s="119"/>
      <c r="M20" s="123">
        <f t="shared" si="5"/>
        <v>63.906053333333325</v>
      </c>
      <c r="N20" s="55"/>
    </row>
    <row r="21" spans="1:14" ht="12.75">
      <c r="A21" s="9" t="s">
        <v>579</v>
      </c>
      <c r="B21" s="10" t="s">
        <v>580</v>
      </c>
      <c r="C21" s="11">
        <f>22</f>
        <v>22</v>
      </c>
      <c r="D21" s="11">
        <f>18</f>
        <v>18</v>
      </c>
      <c r="E21" s="23">
        <f t="shared" si="0"/>
        <v>40</v>
      </c>
      <c r="F21" s="5">
        <f t="shared" si="2"/>
        <v>0.06622516556291391</v>
      </c>
      <c r="G21" s="6">
        <f>28</f>
        <v>28</v>
      </c>
      <c r="H21" s="5">
        <f t="shared" si="3"/>
        <v>0.056338028169014086</v>
      </c>
      <c r="I21" s="6">
        <f>356</f>
        <v>356</v>
      </c>
      <c r="J21" s="5">
        <f t="shared" si="4"/>
        <v>0.11807628524046435</v>
      </c>
      <c r="K21" s="15">
        <f t="shared" si="1"/>
        <v>0.08021315965746412</v>
      </c>
      <c r="L21" s="119"/>
      <c r="M21" s="123">
        <f t="shared" si="5"/>
        <v>5151.7369914006085</v>
      </c>
      <c r="N21" s="55"/>
    </row>
    <row r="22" spans="1:14" ht="12.75">
      <c r="A22" s="9" t="s">
        <v>581</v>
      </c>
      <c r="B22" s="10" t="s">
        <v>582</v>
      </c>
      <c r="C22" s="11">
        <f>1</f>
        <v>1</v>
      </c>
      <c r="E22" s="23">
        <f t="shared" si="0"/>
        <v>1</v>
      </c>
      <c r="F22" s="5">
        <f t="shared" si="2"/>
        <v>0.0016556291390728477</v>
      </c>
      <c r="G22" s="6">
        <f>24+24</f>
        <v>48</v>
      </c>
      <c r="H22" s="5">
        <f t="shared" si="3"/>
        <v>0.096579476861167</v>
      </c>
      <c r="I22" s="6">
        <f>168</f>
        <v>168</v>
      </c>
      <c r="J22" s="5">
        <f t="shared" si="4"/>
        <v>0.05572139303482587</v>
      </c>
      <c r="K22" s="15">
        <f t="shared" si="1"/>
        <v>0.05131883301168857</v>
      </c>
      <c r="L22" s="119"/>
      <c r="M22" s="123">
        <f t="shared" si="5"/>
        <v>3295.9819998466437</v>
      </c>
      <c r="N22" s="55"/>
    </row>
    <row r="23" spans="1:14" ht="12.75">
      <c r="A23" s="9" t="s">
        <v>583</v>
      </c>
      <c r="B23" s="10" t="s">
        <v>584</v>
      </c>
      <c r="E23" s="23">
        <f t="shared" si="0"/>
        <v>0</v>
      </c>
      <c r="F23" s="5">
        <f t="shared" si="2"/>
        <v>0</v>
      </c>
      <c r="H23" s="5">
        <f t="shared" si="3"/>
        <v>0</v>
      </c>
      <c r="I23" s="6">
        <f>1</f>
        <v>1</v>
      </c>
      <c r="J23" s="5">
        <f t="shared" si="4"/>
        <v>0.0003316749585406302</v>
      </c>
      <c r="K23" s="15">
        <f t="shared" si="1"/>
        <v>0.0001105583195135434</v>
      </c>
      <c r="L23" s="119"/>
      <c r="M23" s="123">
        <f t="shared" si="5"/>
        <v>7.100672592592592</v>
      </c>
      <c r="N23" s="55"/>
    </row>
    <row r="24" spans="1:14" ht="12.75">
      <c r="A24" s="9" t="s">
        <v>585</v>
      </c>
      <c r="B24" s="10" t="s">
        <v>586</v>
      </c>
      <c r="C24" s="11">
        <f>24</f>
        <v>24</v>
      </c>
      <c r="D24" s="11">
        <f>14</f>
        <v>14</v>
      </c>
      <c r="E24" s="23">
        <f t="shared" si="0"/>
        <v>38</v>
      </c>
      <c r="F24" s="5">
        <f t="shared" si="2"/>
        <v>0.06291390728476821</v>
      </c>
      <c r="G24" s="6">
        <f>15</f>
        <v>15</v>
      </c>
      <c r="H24" s="5">
        <f t="shared" si="3"/>
        <v>0.030181086519114688</v>
      </c>
      <c r="I24" s="6">
        <f>331</f>
        <v>331</v>
      </c>
      <c r="J24" s="5">
        <f t="shared" si="4"/>
        <v>0.10978441127694859</v>
      </c>
      <c r="K24" s="15">
        <f t="shared" si="1"/>
        <v>0.06762646836027716</v>
      </c>
      <c r="L24" s="119"/>
      <c r="M24" s="123">
        <f t="shared" si="5"/>
        <v>4343.349397245735</v>
      </c>
      <c r="N24" s="55"/>
    </row>
    <row r="25" spans="1:14" ht="12.75">
      <c r="A25" s="9" t="s">
        <v>587</v>
      </c>
      <c r="B25" s="10" t="s">
        <v>588</v>
      </c>
      <c r="E25" s="23">
        <f t="shared" si="0"/>
        <v>0</v>
      </c>
      <c r="F25" s="5">
        <f t="shared" si="2"/>
        <v>0</v>
      </c>
      <c r="G25" s="6">
        <f>29</f>
        <v>29</v>
      </c>
      <c r="H25" s="5">
        <f t="shared" si="3"/>
        <v>0.05835010060362173</v>
      </c>
      <c r="I25" s="6">
        <f>15</f>
        <v>15</v>
      </c>
      <c r="J25" s="5">
        <f t="shared" si="4"/>
        <v>0.004975124378109453</v>
      </c>
      <c r="K25" s="15">
        <f t="shared" si="1"/>
        <v>0.021108408327243727</v>
      </c>
      <c r="L25" s="119"/>
      <c r="M25" s="123">
        <f t="shared" si="5"/>
        <v>1355.699843684328</v>
      </c>
      <c r="N25" s="55"/>
    </row>
    <row r="26" spans="1:14" ht="12.75">
      <c r="A26" s="9" t="s">
        <v>589</v>
      </c>
      <c r="B26" s="10" t="s">
        <v>590</v>
      </c>
      <c r="E26" s="23">
        <f t="shared" si="0"/>
        <v>0</v>
      </c>
      <c r="F26" s="5">
        <f t="shared" si="2"/>
        <v>0</v>
      </c>
      <c r="H26" s="5">
        <f t="shared" si="3"/>
        <v>0</v>
      </c>
      <c r="I26" s="6">
        <f>66</f>
        <v>66</v>
      </c>
      <c r="J26" s="5">
        <f t="shared" si="4"/>
        <v>0.021890547263681594</v>
      </c>
      <c r="K26" s="15">
        <f t="shared" si="1"/>
        <v>0.007296849087893864</v>
      </c>
      <c r="L26" s="119"/>
      <c r="M26" s="123">
        <f t="shared" si="5"/>
        <v>468.64439111111113</v>
      </c>
      <c r="N26" s="55"/>
    </row>
    <row r="27" spans="1:14" ht="12.75">
      <c r="A27" s="9" t="s">
        <v>591</v>
      </c>
      <c r="B27" s="10" t="s">
        <v>592</v>
      </c>
      <c r="E27" s="23">
        <f t="shared" si="0"/>
        <v>0</v>
      </c>
      <c r="F27" s="5">
        <f t="shared" si="2"/>
        <v>0</v>
      </c>
      <c r="H27" s="5">
        <f t="shared" si="3"/>
        <v>0</v>
      </c>
      <c r="I27" s="6">
        <f>5</f>
        <v>5</v>
      </c>
      <c r="J27" s="5">
        <f t="shared" si="4"/>
        <v>0.001658374792703151</v>
      </c>
      <c r="K27" s="15">
        <f t="shared" si="1"/>
        <v>0.000552791597567717</v>
      </c>
      <c r="L27" s="119"/>
      <c r="M27" s="123">
        <f t="shared" si="5"/>
        <v>35.50336296296296</v>
      </c>
      <c r="N27" s="55"/>
    </row>
    <row r="28" spans="1:14" ht="12.75">
      <c r="A28" s="9" t="s">
        <v>593</v>
      </c>
      <c r="B28" s="10" t="s">
        <v>594</v>
      </c>
      <c r="D28" s="11">
        <f>3</f>
        <v>3</v>
      </c>
      <c r="E28" s="23">
        <f t="shared" si="0"/>
        <v>3</v>
      </c>
      <c r="F28" s="5">
        <f t="shared" si="2"/>
        <v>0.004966887417218543</v>
      </c>
      <c r="G28" s="6">
        <f>3+1+2+1+1+4+18+38+3+1+1+1+3+2+3+1+5+5+1+1+1+1+3</f>
        <v>100</v>
      </c>
      <c r="H28" s="5">
        <f t="shared" si="3"/>
        <v>0.2012072434607646</v>
      </c>
      <c r="I28" s="6">
        <f>270</f>
        <v>270</v>
      </c>
      <c r="J28" s="5">
        <f t="shared" si="4"/>
        <v>0.08955223880597014</v>
      </c>
      <c r="K28" s="15">
        <f t="shared" si="1"/>
        <v>0.09857545656131776</v>
      </c>
      <c r="L28" s="119"/>
      <c r="M28" s="123">
        <f t="shared" si="5"/>
        <v>6331.066226287082</v>
      </c>
      <c r="N28" s="55"/>
    </row>
    <row r="29" spans="1:14" ht="12.75">
      <c r="A29" s="9" t="s">
        <v>595</v>
      </c>
      <c r="B29" s="26" t="s">
        <v>596</v>
      </c>
      <c r="C29" s="27">
        <f>30</f>
        <v>30</v>
      </c>
      <c r="D29" s="27">
        <f>33</f>
        <v>33</v>
      </c>
      <c r="E29" s="23">
        <f t="shared" si="0"/>
        <v>63</v>
      </c>
      <c r="F29" s="5">
        <f t="shared" si="2"/>
        <v>0.10430463576158941</v>
      </c>
      <c r="G29" s="6">
        <f>1+3+1+6+3+1</f>
        <v>15</v>
      </c>
      <c r="H29" s="5">
        <f t="shared" si="3"/>
        <v>0.030181086519114688</v>
      </c>
      <c r="I29" s="6">
        <f>207+5+9</f>
        <v>221</v>
      </c>
      <c r="J29" s="5">
        <f t="shared" si="4"/>
        <v>0.07330016583747927</v>
      </c>
      <c r="K29" s="15">
        <f t="shared" si="1"/>
        <v>0.06926196270606112</v>
      </c>
      <c r="L29" s="119"/>
      <c r="M29" s="123">
        <f t="shared" si="5"/>
        <v>4448.389976078211</v>
      </c>
      <c r="N29" s="55"/>
    </row>
    <row r="30" spans="1:14" ht="12.75">
      <c r="A30" s="9" t="s">
        <v>597</v>
      </c>
      <c r="B30" s="10" t="s">
        <v>598</v>
      </c>
      <c r="E30" s="23">
        <f t="shared" si="0"/>
        <v>0</v>
      </c>
      <c r="F30" s="5">
        <f t="shared" si="2"/>
        <v>0</v>
      </c>
      <c r="H30" s="5">
        <f t="shared" si="3"/>
        <v>0</v>
      </c>
      <c r="I30" s="6">
        <f>26</f>
        <v>26</v>
      </c>
      <c r="J30" s="5">
        <f t="shared" si="4"/>
        <v>0.008623548922056384</v>
      </c>
      <c r="K30" s="15">
        <f t="shared" si="1"/>
        <v>0.0028745163073521283</v>
      </c>
      <c r="L30" s="119"/>
      <c r="M30" s="123">
        <f t="shared" si="5"/>
        <v>184.6174874074074</v>
      </c>
      <c r="N30" s="55"/>
    </row>
    <row r="31" spans="1:14" ht="12.75">
      <c r="A31" s="9" t="s">
        <v>599</v>
      </c>
      <c r="B31" s="10" t="s">
        <v>600</v>
      </c>
      <c r="C31" s="11">
        <f>194</f>
        <v>194</v>
      </c>
      <c r="D31" s="11">
        <f>236</f>
        <v>236</v>
      </c>
      <c r="E31" s="23">
        <f t="shared" si="0"/>
        <v>430</v>
      </c>
      <c r="F31" s="5">
        <f t="shared" si="2"/>
        <v>0.7119205298013245</v>
      </c>
      <c r="G31" s="6">
        <f>83</f>
        <v>83</v>
      </c>
      <c r="H31" s="5">
        <f t="shared" si="3"/>
        <v>0.16700201207243462</v>
      </c>
      <c r="I31" s="6">
        <f>562</f>
        <v>562</v>
      </c>
      <c r="J31" s="5">
        <f t="shared" si="4"/>
        <v>0.18640132669983417</v>
      </c>
      <c r="K31" s="15">
        <f t="shared" si="1"/>
        <v>0.3551079561911978</v>
      </c>
      <c r="L31" s="119"/>
      <c r="M31" s="123">
        <f t="shared" si="5"/>
        <v>22807.01572738291</v>
      </c>
      <c r="N31" s="55"/>
    </row>
    <row r="32" spans="1:14" ht="13.5" thickBot="1">
      <c r="A32" s="24" t="s">
        <v>601</v>
      </c>
      <c r="B32" s="28"/>
      <c r="C32" s="24">
        <f aca="true" t="shared" si="6" ref="C32:J32">SUM(C7:C31)</f>
        <v>286</v>
      </c>
      <c r="D32" s="24">
        <f t="shared" si="6"/>
        <v>318</v>
      </c>
      <c r="E32" s="24">
        <f t="shared" si="6"/>
        <v>604</v>
      </c>
      <c r="F32" s="25">
        <f t="shared" si="6"/>
        <v>1</v>
      </c>
      <c r="G32" s="1">
        <f t="shared" si="6"/>
        <v>497</v>
      </c>
      <c r="H32" s="25">
        <f t="shared" si="6"/>
        <v>0.9999999999999999</v>
      </c>
      <c r="I32" s="1">
        <f t="shared" si="6"/>
        <v>3015</v>
      </c>
      <c r="J32" s="25">
        <f t="shared" si="6"/>
        <v>0.9999999999999998</v>
      </c>
      <c r="K32" s="15">
        <f t="shared" si="1"/>
        <v>1</v>
      </c>
      <c r="L32" s="131"/>
      <c r="M32" s="133">
        <v>64225.5836</v>
      </c>
      <c r="N32" s="75"/>
    </row>
    <row r="33" ht="12.75">
      <c r="M33" s="134"/>
    </row>
    <row r="34" ht="12.75">
      <c r="M34" s="134">
        <f>SUM(M7:M31)</f>
        <v>64225.58359999999</v>
      </c>
    </row>
    <row r="35" ht="12.75">
      <c r="M35" s="127"/>
    </row>
    <row r="36" ht="12.75">
      <c r="M36" s="127"/>
    </row>
    <row r="37" ht="12.75">
      <c r="M37" s="127"/>
    </row>
    <row r="38" ht="12.75">
      <c r="M38" s="127"/>
    </row>
    <row r="39" ht="12.75">
      <c r="M39" s="127"/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1" ySplit="5" topLeftCell="B6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42.8515625" style="9" bestFit="1" customWidth="1"/>
    <col min="2" max="2" width="7.57421875" style="10" hidden="1" customWidth="1"/>
    <col min="3" max="3" width="4.00390625" style="11" hidden="1" customWidth="1"/>
    <col min="4" max="4" width="3.00390625" style="11" hidden="1" customWidth="1"/>
    <col min="5" max="5" width="7.28125" style="4" hidden="1" customWidth="1"/>
    <col min="6" max="6" width="7.00390625" style="5" hidden="1" customWidth="1"/>
    <col min="7" max="7" width="11.7109375" style="6" hidden="1" customWidth="1"/>
    <col min="8" max="8" width="7.00390625" style="5" hidden="1" customWidth="1"/>
    <col min="9" max="9" width="15.00390625" style="6" hidden="1" customWidth="1"/>
    <col min="10" max="10" width="7.00390625" style="5" hidden="1" customWidth="1"/>
    <col min="11" max="11" width="8.57421875" style="7" hidden="1" customWidth="1"/>
    <col min="12" max="12" width="6.7109375" style="9" customWidth="1"/>
    <col min="13" max="13" width="9.7109375" style="9" customWidth="1"/>
    <col min="14" max="14" width="6.7109375" style="9" customWidth="1"/>
    <col min="15" max="16384" width="6.8515625" style="9" customWidth="1"/>
  </cols>
  <sheetData>
    <row r="1" spans="1:4" ht="12.75" customHeight="1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2.75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480</v>
      </c>
      <c r="B6" s="2"/>
      <c r="C6" s="3"/>
      <c r="D6" s="3"/>
      <c r="L6" s="119"/>
      <c r="M6" s="120"/>
      <c r="N6" s="55"/>
    </row>
    <row r="7" spans="1:14" s="6" customFormat="1" ht="12.75">
      <c r="A7" s="6" t="s">
        <v>481</v>
      </c>
      <c r="B7" s="21" t="s">
        <v>482</v>
      </c>
      <c r="C7" s="22"/>
      <c r="D7" s="22"/>
      <c r="E7" s="23">
        <f aca="true" t="shared" si="0" ref="E7:E21">C7+D7</f>
        <v>0</v>
      </c>
      <c r="F7" s="5">
        <f>+E7/E$22</f>
        <v>0</v>
      </c>
      <c r="H7" s="5">
        <f>+G7/G$22</f>
        <v>0</v>
      </c>
      <c r="I7" s="6">
        <f>3</f>
        <v>3</v>
      </c>
      <c r="J7" s="5">
        <f>+I7/I$22</f>
        <v>0.00130605137135394</v>
      </c>
      <c r="K7" s="15">
        <f aca="true" t="shared" si="1" ref="K7:K22">+(F7+H7+J7)/3</f>
        <v>0.00043535045711797995</v>
      </c>
      <c r="L7" s="121"/>
      <c r="M7" s="123">
        <f>K7*$M$22</f>
        <v>15.151444754026992</v>
      </c>
      <c r="N7" s="122"/>
    </row>
    <row r="8" spans="1:14" ht="12.75">
      <c r="A8" s="9" t="s">
        <v>483</v>
      </c>
      <c r="B8" s="10" t="s">
        <v>484</v>
      </c>
      <c r="C8" s="11">
        <f>1</f>
        <v>1</v>
      </c>
      <c r="D8" s="11">
        <f>1</f>
        <v>1</v>
      </c>
      <c r="E8" s="23">
        <f t="shared" si="0"/>
        <v>2</v>
      </c>
      <c r="F8" s="5">
        <f aca="true" t="shared" si="2" ref="F8:F21">+E8/E$22</f>
        <v>0.013513513513513514</v>
      </c>
      <c r="G8" s="6">
        <f>3+4+4+2+1+1</f>
        <v>15</v>
      </c>
      <c r="H8" s="5">
        <f aca="true" t="shared" si="3" ref="H8:H21">+G8/G$22</f>
        <v>0.06437768240343347</v>
      </c>
      <c r="I8" s="6">
        <f>142</f>
        <v>142</v>
      </c>
      <c r="J8" s="5">
        <f aca="true" t="shared" si="4" ref="J8:J21">+I8/I$22</f>
        <v>0.06181976491075316</v>
      </c>
      <c r="K8" s="15">
        <f t="shared" si="1"/>
        <v>0.04657032027590005</v>
      </c>
      <c r="L8" s="119"/>
      <c r="M8" s="123">
        <f aca="true" t="shared" si="5" ref="M8:M21">K8*$M$22</f>
        <v>1620.7807372220652</v>
      </c>
      <c r="N8" s="55"/>
    </row>
    <row r="9" spans="1:14" ht="12.75">
      <c r="A9" s="9" t="s">
        <v>485</v>
      </c>
      <c r="B9" s="10" t="s">
        <v>486</v>
      </c>
      <c r="E9" s="23">
        <f t="shared" si="0"/>
        <v>0</v>
      </c>
      <c r="F9" s="5">
        <f t="shared" si="2"/>
        <v>0</v>
      </c>
      <c r="H9" s="5">
        <f t="shared" si="3"/>
        <v>0</v>
      </c>
      <c r="I9" s="6">
        <f>47</f>
        <v>47</v>
      </c>
      <c r="J9" s="5">
        <f t="shared" si="4"/>
        <v>0.02046147148454506</v>
      </c>
      <c r="K9" s="15">
        <f t="shared" si="1"/>
        <v>0.006820490494848353</v>
      </c>
      <c r="L9" s="119"/>
      <c r="M9" s="123">
        <f t="shared" si="5"/>
        <v>237.37263447975621</v>
      </c>
      <c r="N9" s="55"/>
    </row>
    <row r="10" spans="1:14" ht="12.75">
      <c r="A10" s="9" t="s">
        <v>487</v>
      </c>
      <c r="B10" s="10" t="s">
        <v>488</v>
      </c>
      <c r="E10" s="23">
        <f t="shared" si="0"/>
        <v>0</v>
      </c>
      <c r="F10" s="5">
        <f t="shared" si="2"/>
        <v>0</v>
      </c>
      <c r="G10" s="6">
        <f>33</f>
        <v>33</v>
      </c>
      <c r="H10" s="5">
        <f t="shared" si="3"/>
        <v>0.14163090128755365</v>
      </c>
      <c r="I10" s="6">
        <f>514</f>
        <v>514</v>
      </c>
      <c r="J10" s="5">
        <f t="shared" si="4"/>
        <v>0.2237701349586417</v>
      </c>
      <c r="K10" s="15">
        <f t="shared" si="1"/>
        <v>0.12180034541539846</v>
      </c>
      <c r="L10" s="119"/>
      <c r="M10" s="123">
        <f t="shared" si="5"/>
        <v>4239.001416926725</v>
      </c>
      <c r="N10" s="55"/>
    </row>
    <row r="11" spans="1:14" ht="12.75">
      <c r="A11" s="9" t="s">
        <v>489</v>
      </c>
      <c r="B11" s="10" t="s">
        <v>490</v>
      </c>
      <c r="E11" s="23">
        <f t="shared" si="0"/>
        <v>0</v>
      </c>
      <c r="F11" s="5">
        <f t="shared" si="2"/>
        <v>0</v>
      </c>
      <c r="H11" s="5">
        <f t="shared" si="3"/>
        <v>0</v>
      </c>
      <c r="I11" s="6">
        <f>29</f>
        <v>29</v>
      </c>
      <c r="J11" s="5">
        <f t="shared" si="4"/>
        <v>0.012625163256421419</v>
      </c>
      <c r="K11" s="15">
        <f t="shared" si="1"/>
        <v>0.004208387752140473</v>
      </c>
      <c r="L11" s="119"/>
      <c r="M11" s="123">
        <f t="shared" si="5"/>
        <v>146.46396595559426</v>
      </c>
      <c r="N11" s="55"/>
    </row>
    <row r="12" spans="1:14" ht="12.75">
      <c r="A12" s="9" t="s">
        <v>491</v>
      </c>
      <c r="B12" s="10" t="s">
        <v>492</v>
      </c>
      <c r="E12" s="23">
        <f t="shared" si="0"/>
        <v>0</v>
      </c>
      <c r="F12" s="5">
        <f t="shared" si="2"/>
        <v>0</v>
      </c>
      <c r="H12" s="5">
        <f t="shared" si="3"/>
        <v>0</v>
      </c>
      <c r="I12" s="6">
        <f>10</f>
        <v>10</v>
      </c>
      <c r="J12" s="5">
        <f t="shared" si="4"/>
        <v>0.0043535045711798</v>
      </c>
      <c r="K12" s="15">
        <f t="shared" si="1"/>
        <v>0.0014511681903932665</v>
      </c>
      <c r="L12" s="119"/>
      <c r="M12" s="123">
        <f t="shared" si="5"/>
        <v>50.50481584675664</v>
      </c>
      <c r="N12" s="55"/>
    </row>
    <row r="13" spans="1:14" ht="12.75">
      <c r="A13" s="9" t="s">
        <v>493</v>
      </c>
      <c r="B13" s="10" t="s">
        <v>494</v>
      </c>
      <c r="E13" s="23">
        <f t="shared" si="0"/>
        <v>0</v>
      </c>
      <c r="F13" s="5">
        <f t="shared" si="2"/>
        <v>0</v>
      </c>
      <c r="G13" s="6">
        <f>1+1</f>
        <v>2</v>
      </c>
      <c r="H13" s="5">
        <f t="shared" si="3"/>
        <v>0.008583690987124463</v>
      </c>
      <c r="I13" s="6">
        <f>38</f>
        <v>38</v>
      </c>
      <c r="J13" s="5">
        <f t="shared" si="4"/>
        <v>0.01654331737048324</v>
      </c>
      <c r="K13" s="15">
        <f t="shared" si="1"/>
        <v>0.008375669452535902</v>
      </c>
      <c r="L13" s="119"/>
      <c r="M13" s="123">
        <f t="shared" si="5"/>
        <v>291.49732339364095</v>
      </c>
      <c r="N13" s="55"/>
    </row>
    <row r="14" spans="1:14" ht="12.75">
      <c r="A14" s="9" t="s">
        <v>495</v>
      </c>
      <c r="B14" s="10" t="s">
        <v>496</v>
      </c>
      <c r="E14" s="23">
        <f t="shared" si="0"/>
        <v>0</v>
      </c>
      <c r="F14" s="5">
        <f t="shared" si="2"/>
        <v>0</v>
      </c>
      <c r="H14" s="5">
        <f t="shared" si="3"/>
        <v>0</v>
      </c>
      <c r="I14" s="6">
        <f>25</f>
        <v>25</v>
      </c>
      <c r="J14" s="5">
        <f t="shared" si="4"/>
        <v>0.0108837614279495</v>
      </c>
      <c r="K14" s="15">
        <f t="shared" si="1"/>
        <v>0.0036279204759831663</v>
      </c>
      <c r="L14" s="119"/>
      <c r="M14" s="123">
        <f t="shared" si="5"/>
        <v>126.2620396168916</v>
      </c>
      <c r="N14" s="55"/>
    </row>
    <row r="15" spans="1:14" ht="12.75">
      <c r="A15" s="9" t="s">
        <v>497</v>
      </c>
      <c r="B15" s="10" t="s">
        <v>498</v>
      </c>
      <c r="E15" s="23">
        <f t="shared" si="0"/>
        <v>0</v>
      </c>
      <c r="F15" s="5">
        <f t="shared" si="2"/>
        <v>0</v>
      </c>
      <c r="H15" s="5">
        <f t="shared" si="3"/>
        <v>0</v>
      </c>
      <c r="I15" s="6">
        <f>32</f>
        <v>32</v>
      </c>
      <c r="J15" s="5">
        <f t="shared" si="4"/>
        <v>0.013931214627775359</v>
      </c>
      <c r="K15" s="15">
        <f t="shared" si="1"/>
        <v>0.004643738209258453</v>
      </c>
      <c r="L15" s="119"/>
      <c r="M15" s="123">
        <f t="shared" si="5"/>
        <v>161.61541070962124</v>
      </c>
      <c r="N15" s="55"/>
    </row>
    <row r="16" spans="1:14" ht="12.75">
      <c r="A16" s="9" t="s">
        <v>499</v>
      </c>
      <c r="B16" s="10" t="s">
        <v>500</v>
      </c>
      <c r="C16" s="11">
        <f>51</f>
        <v>51</v>
      </c>
      <c r="D16" s="11">
        <f>95</f>
        <v>95</v>
      </c>
      <c r="E16" s="23">
        <f t="shared" si="0"/>
        <v>146</v>
      </c>
      <c r="F16" s="5">
        <f t="shared" si="2"/>
        <v>0.9864864864864865</v>
      </c>
      <c r="G16" s="6">
        <f>30+3+20+8+26+16+7+1+28+3+6+8+9+11</f>
        <v>176</v>
      </c>
      <c r="H16" s="5">
        <f t="shared" si="3"/>
        <v>0.7553648068669528</v>
      </c>
      <c r="I16" s="6">
        <f>1291</f>
        <v>1291</v>
      </c>
      <c r="J16" s="5">
        <f t="shared" si="4"/>
        <v>0.5620374401393121</v>
      </c>
      <c r="K16" s="15">
        <f t="shared" si="1"/>
        <v>0.7679629111642505</v>
      </c>
      <c r="L16" s="119"/>
      <c r="M16" s="123">
        <f t="shared" si="5"/>
        <v>26727.312286922886</v>
      </c>
      <c r="N16" s="55"/>
    </row>
    <row r="17" spans="1:14" ht="12.75">
      <c r="A17" s="9" t="s">
        <v>501</v>
      </c>
      <c r="B17" s="10" t="s">
        <v>502</v>
      </c>
      <c r="E17" s="23">
        <f t="shared" si="0"/>
        <v>0</v>
      </c>
      <c r="F17" s="5">
        <f t="shared" si="2"/>
        <v>0</v>
      </c>
      <c r="G17" s="6">
        <f>2</f>
        <v>2</v>
      </c>
      <c r="H17" s="5">
        <f t="shared" si="3"/>
        <v>0.008583690987124463</v>
      </c>
      <c r="I17" s="6">
        <f>112</f>
        <v>112</v>
      </c>
      <c r="J17" s="5">
        <f t="shared" si="4"/>
        <v>0.048759251197213756</v>
      </c>
      <c r="K17" s="15">
        <f t="shared" si="1"/>
        <v>0.019114314061446074</v>
      </c>
      <c r="L17" s="119"/>
      <c r="M17" s="123">
        <f t="shared" si="5"/>
        <v>665.2329606596401</v>
      </c>
      <c r="N17" s="55"/>
    </row>
    <row r="18" spans="1:14" ht="12.75">
      <c r="A18" s="9" t="s">
        <v>503</v>
      </c>
      <c r="B18" s="10" t="s">
        <v>504</v>
      </c>
      <c r="E18" s="23">
        <f t="shared" si="0"/>
        <v>0</v>
      </c>
      <c r="F18" s="5">
        <f t="shared" si="2"/>
        <v>0</v>
      </c>
      <c r="H18" s="5">
        <f t="shared" si="3"/>
        <v>0</v>
      </c>
      <c r="I18" s="6">
        <f>37</f>
        <v>37</v>
      </c>
      <c r="J18" s="5">
        <f t="shared" si="4"/>
        <v>0.01610796691336526</v>
      </c>
      <c r="K18" s="15">
        <f t="shared" si="1"/>
        <v>0.005369322304455086</v>
      </c>
      <c r="L18" s="119"/>
      <c r="M18" s="123">
        <f t="shared" si="5"/>
        <v>186.86781863299956</v>
      </c>
      <c r="N18" s="55"/>
    </row>
    <row r="19" spans="1:14" ht="12.75">
      <c r="A19" s="6" t="s">
        <v>505</v>
      </c>
      <c r="B19" s="10" t="s">
        <v>506</v>
      </c>
      <c r="E19" s="23">
        <f t="shared" si="0"/>
        <v>0</v>
      </c>
      <c r="F19" s="5">
        <f t="shared" si="2"/>
        <v>0</v>
      </c>
      <c r="G19" s="6">
        <f>1</f>
        <v>1</v>
      </c>
      <c r="H19" s="5">
        <f t="shared" si="3"/>
        <v>0.004291845493562232</v>
      </c>
      <c r="I19" s="6">
        <f>6</f>
        <v>6</v>
      </c>
      <c r="J19" s="5">
        <f t="shared" si="4"/>
        <v>0.00261210274270788</v>
      </c>
      <c r="K19" s="15">
        <f t="shared" si="1"/>
        <v>0.0023013160787567037</v>
      </c>
      <c r="L19" s="119"/>
      <c r="M19" s="123">
        <f t="shared" si="5"/>
        <v>80.09240109603681</v>
      </c>
      <c r="N19" s="55"/>
    </row>
    <row r="20" spans="1:14" ht="12.75">
      <c r="A20" s="9" t="s">
        <v>507</v>
      </c>
      <c r="B20" s="10" t="s">
        <v>508</v>
      </c>
      <c r="E20" s="23">
        <f t="shared" si="0"/>
        <v>0</v>
      </c>
      <c r="F20" s="5">
        <f t="shared" si="2"/>
        <v>0</v>
      </c>
      <c r="G20" s="6">
        <f>4</f>
        <v>4</v>
      </c>
      <c r="H20" s="5">
        <f t="shared" si="3"/>
        <v>0.017167381974248927</v>
      </c>
      <c r="I20" s="6">
        <f>4</f>
        <v>4</v>
      </c>
      <c r="J20" s="5">
        <f t="shared" si="4"/>
        <v>0.0017414018284719198</v>
      </c>
      <c r="K20" s="15">
        <f t="shared" si="1"/>
        <v>0.006302927934240282</v>
      </c>
      <c r="L20" s="119"/>
      <c r="M20" s="123">
        <f t="shared" si="5"/>
        <v>219.35997269063398</v>
      </c>
      <c r="N20" s="55"/>
    </row>
    <row r="21" spans="1:14" ht="12.75">
      <c r="A21" s="9" t="s">
        <v>509</v>
      </c>
      <c r="B21" s="10" t="s">
        <v>510</v>
      </c>
      <c r="E21" s="23">
        <f t="shared" si="0"/>
        <v>0</v>
      </c>
      <c r="F21" s="5">
        <f t="shared" si="2"/>
        <v>0</v>
      </c>
      <c r="H21" s="5">
        <f t="shared" si="3"/>
        <v>0</v>
      </c>
      <c r="I21" s="6">
        <f>7</f>
        <v>7</v>
      </c>
      <c r="J21" s="5">
        <f t="shared" si="4"/>
        <v>0.0030474531998258597</v>
      </c>
      <c r="K21" s="15">
        <f t="shared" si="1"/>
        <v>0.0010158177332752866</v>
      </c>
      <c r="L21" s="119"/>
      <c r="M21" s="123">
        <f t="shared" si="5"/>
        <v>35.35337109272965</v>
      </c>
      <c r="N21" s="55"/>
    </row>
    <row r="22" spans="1:14" ht="13.5" thickBot="1">
      <c r="A22" s="1" t="s">
        <v>615</v>
      </c>
      <c r="B22" s="28"/>
      <c r="C22" s="24">
        <f aca="true" t="shared" si="6" ref="C22:J22">SUM(C7:C21)</f>
        <v>52</v>
      </c>
      <c r="D22" s="24">
        <f t="shared" si="6"/>
        <v>96</v>
      </c>
      <c r="E22" s="24">
        <f t="shared" si="6"/>
        <v>148</v>
      </c>
      <c r="F22" s="25">
        <f t="shared" si="6"/>
        <v>1</v>
      </c>
      <c r="G22" s="1">
        <f t="shared" si="6"/>
        <v>233</v>
      </c>
      <c r="H22" s="25">
        <f t="shared" si="6"/>
        <v>1</v>
      </c>
      <c r="I22" s="1">
        <f t="shared" si="6"/>
        <v>2297</v>
      </c>
      <c r="J22" s="25">
        <f t="shared" si="6"/>
        <v>1</v>
      </c>
      <c r="K22" s="15">
        <f t="shared" si="1"/>
        <v>1</v>
      </c>
      <c r="L22" s="131"/>
      <c r="M22" s="133">
        <v>34802.8686</v>
      </c>
      <c r="N22" s="75"/>
    </row>
    <row r="23" spans="1:13" ht="12.75">
      <c r="A23" s="135" t="s">
        <v>616</v>
      </c>
      <c r="M23" s="127"/>
    </row>
    <row r="24" ht="12.75">
      <c r="M24" s="134">
        <f>SUM(M7:M21)</f>
        <v>34802.8686</v>
      </c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xSplit="1" ySplit="5" topLeftCell="B6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41.00390625" style="9" bestFit="1" customWidth="1"/>
    <col min="2" max="2" width="12.28125" style="10" hidden="1" customWidth="1"/>
    <col min="3" max="4" width="5.00390625" style="11" hidden="1" customWidth="1"/>
    <col min="5" max="5" width="7.28125" style="4" hidden="1" customWidth="1"/>
    <col min="6" max="6" width="7.28125" style="5" hidden="1" customWidth="1"/>
    <col min="7" max="7" width="11.7109375" style="6" hidden="1" customWidth="1"/>
    <col min="8" max="8" width="7.00390625" style="5" hidden="1" customWidth="1"/>
    <col min="9" max="9" width="15.00390625" style="6" hidden="1" customWidth="1"/>
    <col min="10" max="10" width="7.00390625" style="5" hidden="1" customWidth="1"/>
    <col min="11" max="11" width="8.57421875" style="7" hidden="1" customWidth="1"/>
    <col min="12" max="12" width="6.7109375" style="9" customWidth="1"/>
    <col min="13" max="13" width="9.7109375" style="9" customWidth="1"/>
    <col min="14" max="14" width="6.7109375" style="9" customWidth="1"/>
    <col min="15" max="16384" width="6.8515625" style="9" customWidth="1"/>
  </cols>
  <sheetData>
    <row r="1" spans="1:4" ht="12.75" customHeight="1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2.75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511</v>
      </c>
      <c r="B6" s="2"/>
      <c r="C6" s="3"/>
      <c r="D6" s="3"/>
      <c r="L6" s="119"/>
      <c r="M6" s="132"/>
      <c r="N6" s="55"/>
    </row>
    <row r="7" spans="1:14" ht="12.75">
      <c r="A7" s="9" t="s">
        <v>511</v>
      </c>
      <c r="B7" s="10" t="s">
        <v>512</v>
      </c>
      <c r="C7" s="11">
        <f>1440</f>
        <v>1440</v>
      </c>
      <c r="D7" s="11">
        <f>801</f>
        <v>801</v>
      </c>
      <c r="E7" s="23">
        <f aca="true" t="shared" si="0" ref="E7:E25">C7+D7</f>
        <v>2241</v>
      </c>
      <c r="F7" s="5">
        <f>+E7/E$26</f>
        <v>0.6074817023583627</v>
      </c>
      <c r="G7" s="6">
        <f>24+8</f>
        <v>32</v>
      </c>
      <c r="H7" s="5">
        <f>+G7/G$26</f>
        <v>0.03146509341199607</v>
      </c>
      <c r="I7" s="6">
        <f>81+9</f>
        <v>90</v>
      </c>
      <c r="J7" s="5">
        <f>+I7/I$26</f>
        <v>0.015215553677092139</v>
      </c>
      <c r="K7" s="15">
        <f aca="true" t="shared" si="1" ref="K7:K26">+(F7+H7+J7)/3</f>
        <v>0.21805411648248366</v>
      </c>
      <c r="L7" s="119"/>
      <c r="M7" s="123">
        <f>K7*$M$26</f>
        <v>38677.771718012395</v>
      </c>
      <c r="N7" s="55"/>
    </row>
    <row r="8" spans="1:14" ht="12.75">
      <c r="A8" s="9" t="s">
        <v>513</v>
      </c>
      <c r="B8" s="10" t="s">
        <v>514</v>
      </c>
      <c r="C8" s="11">
        <f>1</f>
        <v>1</v>
      </c>
      <c r="D8" s="11">
        <f>1</f>
        <v>1</v>
      </c>
      <c r="E8" s="23">
        <f t="shared" si="0"/>
        <v>2</v>
      </c>
      <c r="F8" s="5">
        <f aca="true" t="shared" si="2" ref="F8:F25">+E8/E$26</f>
        <v>0.0005421523448088912</v>
      </c>
      <c r="H8" s="5">
        <f aca="true" t="shared" si="3" ref="H8:H25">+G8/G$26</f>
        <v>0</v>
      </c>
      <c r="I8" s="6">
        <f>151</f>
        <v>151</v>
      </c>
      <c r="J8" s="5">
        <f aca="true" t="shared" si="4" ref="J8:J25">+I8/I$26</f>
        <v>0.025528317836010145</v>
      </c>
      <c r="K8" s="15">
        <f t="shared" si="1"/>
        <v>0.008690156726939678</v>
      </c>
      <c r="L8" s="119"/>
      <c r="M8" s="123">
        <f aca="true" t="shared" si="5" ref="M8:M25">K8*$M$26</f>
        <v>1541.4333996548187</v>
      </c>
      <c r="N8" s="55"/>
    </row>
    <row r="9" spans="1:14" ht="12.75">
      <c r="A9" s="9" t="s">
        <v>515</v>
      </c>
      <c r="B9" s="10" t="s">
        <v>516</v>
      </c>
      <c r="C9" s="11">
        <f>16</f>
        <v>16</v>
      </c>
      <c r="D9" s="11">
        <f>16</f>
        <v>16</v>
      </c>
      <c r="E9" s="23">
        <f t="shared" si="0"/>
        <v>32</v>
      </c>
      <c r="F9" s="5">
        <f t="shared" si="2"/>
        <v>0.00867443751694226</v>
      </c>
      <c r="H9" s="5">
        <f t="shared" si="3"/>
        <v>0</v>
      </c>
      <c r="J9" s="5">
        <f t="shared" si="4"/>
        <v>0</v>
      </c>
      <c r="K9" s="15">
        <f t="shared" si="1"/>
        <v>0.002891479172314087</v>
      </c>
      <c r="L9" s="119"/>
      <c r="M9" s="123">
        <f t="shared" si="5"/>
        <v>512.8817247673262</v>
      </c>
      <c r="N9" s="55"/>
    </row>
    <row r="10" spans="1:14" ht="12.75">
      <c r="A10" s="9" t="s">
        <v>517</v>
      </c>
      <c r="B10" s="10" t="s">
        <v>518</v>
      </c>
      <c r="C10" s="11">
        <f>66</f>
        <v>66</v>
      </c>
      <c r="D10" s="11">
        <f>4</f>
        <v>4</v>
      </c>
      <c r="E10" s="23">
        <f t="shared" si="0"/>
        <v>70</v>
      </c>
      <c r="F10" s="5">
        <f t="shared" si="2"/>
        <v>0.018975332068311195</v>
      </c>
      <c r="G10" s="6">
        <f>11+12+23+8+10+9</f>
        <v>73</v>
      </c>
      <c r="H10" s="5">
        <f t="shared" si="3"/>
        <v>0.07177974434611603</v>
      </c>
      <c r="I10" s="6">
        <f>175</f>
        <v>175</v>
      </c>
      <c r="J10" s="5">
        <f t="shared" si="4"/>
        <v>0.029585798816568046</v>
      </c>
      <c r="K10" s="15">
        <f t="shared" si="1"/>
        <v>0.04011362507699843</v>
      </c>
      <c r="L10" s="119"/>
      <c r="M10" s="123">
        <f t="shared" si="5"/>
        <v>7115.23202835162</v>
      </c>
      <c r="N10" s="55"/>
    </row>
    <row r="11" spans="1:14" ht="12.75">
      <c r="A11" s="9" t="s">
        <v>519</v>
      </c>
      <c r="B11" s="10" t="s">
        <v>520</v>
      </c>
      <c r="C11" s="11">
        <f>127</f>
        <v>127</v>
      </c>
      <c r="D11" s="11">
        <f>124</f>
        <v>124</v>
      </c>
      <c r="E11" s="23">
        <f t="shared" si="0"/>
        <v>251</v>
      </c>
      <c r="F11" s="5">
        <f t="shared" si="2"/>
        <v>0.06804011927351586</v>
      </c>
      <c r="G11" s="6">
        <f>18</f>
        <v>18</v>
      </c>
      <c r="H11" s="5">
        <f t="shared" si="3"/>
        <v>0.017699115044247787</v>
      </c>
      <c r="I11" s="6">
        <f>55</f>
        <v>55</v>
      </c>
      <c r="J11" s="5">
        <f t="shared" si="4"/>
        <v>0.009298393913778529</v>
      </c>
      <c r="K11" s="15">
        <f t="shared" si="1"/>
        <v>0.03167920941051406</v>
      </c>
      <c r="L11" s="119"/>
      <c r="M11" s="123">
        <f t="shared" si="5"/>
        <v>5619.161195176978</v>
      </c>
      <c r="N11" s="55"/>
    </row>
    <row r="12" spans="1:14" ht="12.75">
      <c r="A12" s="9" t="s">
        <v>521</v>
      </c>
      <c r="B12" s="10" t="s">
        <v>522</v>
      </c>
      <c r="E12" s="23">
        <f t="shared" si="0"/>
        <v>0</v>
      </c>
      <c r="F12" s="5">
        <f t="shared" si="2"/>
        <v>0</v>
      </c>
      <c r="H12" s="5">
        <f t="shared" si="3"/>
        <v>0</v>
      </c>
      <c r="I12" s="6">
        <f>69</f>
        <v>69</v>
      </c>
      <c r="J12" s="5">
        <f t="shared" si="4"/>
        <v>0.011665257819103972</v>
      </c>
      <c r="K12" s="15">
        <f t="shared" si="1"/>
        <v>0.0038884192730346575</v>
      </c>
      <c r="L12" s="119"/>
      <c r="M12" s="123">
        <f t="shared" si="5"/>
        <v>689.7159081994928</v>
      </c>
      <c r="N12" s="55"/>
    </row>
    <row r="13" spans="1:14" ht="12.75">
      <c r="A13" s="9" t="s">
        <v>523</v>
      </c>
      <c r="B13" s="10" t="s">
        <v>524</v>
      </c>
      <c r="E13" s="23">
        <f t="shared" si="0"/>
        <v>0</v>
      </c>
      <c r="F13" s="5">
        <f t="shared" si="2"/>
        <v>0</v>
      </c>
      <c r="G13" s="6">
        <f>3+11+12+11+6+2+9+2+2+2+3+2+2+11+11+14+11+2+4+1+7+1+14+3+57+1+2+2+5+2+1+1+1+2+2+1+2+1+1+2+3+2+4+3+1+1+2+1+1+1+1+3+7+1+2+1+1+2+1+1+1+1+1+2+1+1+1+1+1+8+1+1+1+1+1+1+1</f>
        <v>293</v>
      </c>
      <c r="H13" s="5">
        <f t="shared" si="3"/>
        <v>0.288102261553589</v>
      </c>
      <c r="I13" s="6">
        <f>2707</f>
        <v>2707</v>
      </c>
      <c r="J13" s="5">
        <f t="shared" si="4"/>
        <v>0.4576500422654269</v>
      </c>
      <c r="K13" s="15">
        <f t="shared" si="1"/>
        <v>0.24858410127300531</v>
      </c>
      <c r="L13" s="119"/>
      <c r="M13" s="123">
        <f t="shared" si="5"/>
        <v>44093.086967871684</v>
      </c>
      <c r="N13" s="55"/>
    </row>
    <row r="14" spans="1:14" ht="12.75">
      <c r="A14" s="9" t="s">
        <v>525</v>
      </c>
      <c r="B14" s="10" t="s">
        <v>526</v>
      </c>
      <c r="D14" s="11">
        <f>1</f>
        <v>1</v>
      </c>
      <c r="E14" s="23">
        <f t="shared" si="0"/>
        <v>1</v>
      </c>
      <c r="F14" s="5">
        <f t="shared" si="2"/>
        <v>0.0002710761724044456</v>
      </c>
      <c r="G14" s="6">
        <f>15+19+25+9</f>
        <v>68</v>
      </c>
      <c r="H14" s="5">
        <f t="shared" si="3"/>
        <v>0.06686332350049164</v>
      </c>
      <c r="I14" s="6">
        <f>119</f>
        <v>119</v>
      </c>
      <c r="J14" s="5">
        <f t="shared" si="4"/>
        <v>0.020118343195266272</v>
      </c>
      <c r="K14" s="15">
        <f t="shared" si="1"/>
        <v>0.029084247622720785</v>
      </c>
      <c r="L14" s="119"/>
      <c r="M14" s="123">
        <f t="shared" si="5"/>
        <v>5158.87481643624</v>
      </c>
      <c r="N14" s="55"/>
    </row>
    <row r="15" spans="1:14" ht="12.75">
      <c r="A15" s="9" t="s">
        <v>527</v>
      </c>
      <c r="B15" s="10" t="s">
        <v>528</v>
      </c>
      <c r="C15" s="11">
        <f>75</f>
        <v>75</v>
      </c>
      <c r="D15" s="11">
        <f>2</f>
        <v>2</v>
      </c>
      <c r="E15" s="23">
        <f t="shared" si="0"/>
        <v>77</v>
      </c>
      <c r="F15" s="5">
        <f t="shared" si="2"/>
        <v>0.020872865275142316</v>
      </c>
      <c r="G15" s="6">
        <f>3+9+17+11</f>
        <v>40</v>
      </c>
      <c r="H15" s="5">
        <f t="shared" si="3"/>
        <v>0.03933136676499508</v>
      </c>
      <c r="I15" s="6">
        <f>750</f>
        <v>750</v>
      </c>
      <c r="J15" s="5">
        <f t="shared" si="4"/>
        <v>0.12679628064243448</v>
      </c>
      <c r="K15" s="15">
        <f t="shared" si="1"/>
        <v>0.062333504227523956</v>
      </c>
      <c r="L15" s="119"/>
      <c r="M15" s="123">
        <f t="shared" si="5"/>
        <v>11056.526177021758</v>
      </c>
      <c r="N15" s="55"/>
    </row>
    <row r="16" spans="1:14" ht="12.75">
      <c r="A16" s="9" t="s">
        <v>529</v>
      </c>
      <c r="B16" s="10" t="s">
        <v>530</v>
      </c>
      <c r="C16" s="11">
        <f>318</f>
        <v>318</v>
      </c>
      <c r="D16" s="11">
        <f>99</f>
        <v>99</v>
      </c>
      <c r="E16" s="23">
        <f t="shared" si="0"/>
        <v>417</v>
      </c>
      <c r="F16" s="5">
        <f t="shared" si="2"/>
        <v>0.11303876389265384</v>
      </c>
      <c r="G16" s="6">
        <f>31</f>
        <v>31</v>
      </c>
      <c r="H16" s="5">
        <f t="shared" si="3"/>
        <v>0.03048180924287119</v>
      </c>
      <c r="I16" s="6">
        <f>319</f>
        <v>319</v>
      </c>
      <c r="J16" s="5">
        <f t="shared" si="4"/>
        <v>0.05393068469991547</v>
      </c>
      <c r="K16" s="15">
        <f t="shared" si="1"/>
        <v>0.06581708594514683</v>
      </c>
      <c r="L16" s="119"/>
      <c r="M16" s="123">
        <f t="shared" si="5"/>
        <v>11674.433238850066</v>
      </c>
      <c r="N16" s="55"/>
    </row>
    <row r="17" spans="1:14" ht="12.75">
      <c r="A17" s="9" t="s">
        <v>531</v>
      </c>
      <c r="B17" s="10" t="s">
        <v>532</v>
      </c>
      <c r="C17" s="11">
        <f>39</f>
        <v>39</v>
      </c>
      <c r="D17" s="11">
        <f>44</f>
        <v>44</v>
      </c>
      <c r="E17" s="23">
        <f t="shared" si="0"/>
        <v>83</v>
      </c>
      <c r="F17" s="5">
        <f t="shared" si="2"/>
        <v>0.022499322309568987</v>
      </c>
      <c r="H17" s="5">
        <f t="shared" si="3"/>
        <v>0</v>
      </c>
      <c r="I17" s="6">
        <f>346</f>
        <v>346</v>
      </c>
      <c r="J17" s="5">
        <f t="shared" si="4"/>
        <v>0.05849535080304311</v>
      </c>
      <c r="K17" s="15">
        <f t="shared" si="1"/>
        <v>0.0269982243708707</v>
      </c>
      <c r="L17" s="119"/>
      <c r="M17" s="123">
        <f t="shared" si="5"/>
        <v>4788.8623973402455</v>
      </c>
      <c r="N17" s="55"/>
    </row>
    <row r="18" spans="1:14" ht="12.75">
      <c r="A18" s="9" t="s">
        <v>533</v>
      </c>
      <c r="B18" s="10" t="s">
        <v>534</v>
      </c>
      <c r="E18" s="23">
        <f t="shared" si="0"/>
        <v>0</v>
      </c>
      <c r="F18" s="5">
        <f t="shared" si="2"/>
        <v>0</v>
      </c>
      <c r="G18" s="6">
        <f>4</f>
        <v>4</v>
      </c>
      <c r="H18" s="5">
        <f t="shared" si="3"/>
        <v>0.003933136676499509</v>
      </c>
      <c r="I18" s="6">
        <f>28</f>
        <v>28</v>
      </c>
      <c r="J18" s="5">
        <f t="shared" si="4"/>
        <v>0.004733727810650888</v>
      </c>
      <c r="K18" s="15">
        <f t="shared" si="1"/>
        <v>0.002888954829050132</v>
      </c>
      <c r="L18" s="119"/>
      <c r="M18" s="123">
        <f t="shared" si="5"/>
        <v>512.4339644861807</v>
      </c>
      <c r="N18" s="55"/>
    </row>
    <row r="19" spans="1:14" ht="12.75">
      <c r="A19" s="9" t="s">
        <v>535</v>
      </c>
      <c r="B19" s="10" t="s">
        <v>536</v>
      </c>
      <c r="C19" s="11">
        <f>10</f>
        <v>10</v>
      </c>
      <c r="D19" s="11">
        <f>2</f>
        <v>2</v>
      </c>
      <c r="E19" s="23">
        <f t="shared" si="0"/>
        <v>12</v>
      </c>
      <c r="F19" s="5">
        <f t="shared" si="2"/>
        <v>0.003252914068853348</v>
      </c>
      <c r="G19" s="6">
        <f>7+6+8+5+6+19+17+6+9+20+21+16+22+24+24+26+24+24+1+28+19+32+26</f>
        <v>390</v>
      </c>
      <c r="H19" s="5">
        <f t="shared" si="3"/>
        <v>0.3834808259587021</v>
      </c>
      <c r="I19" s="6">
        <f>720</f>
        <v>720</v>
      </c>
      <c r="J19" s="5">
        <f t="shared" si="4"/>
        <v>0.12172442941673711</v>
      </c>
      <c r="K19" s="15">
        <f t="shared" si="1"/>
        <v>0.16948605648143086</v>
      </c>
      <c r="L19" s="119"/>
      <c r="M19" s="123">
        <f t="shared" si="5"/>
        <v>30062.917901857316</v>
      </c>
      <c r="N19" s="55"/>
    </row>
    <row r="20" spans="1:14" ht="12.75">
      <c r="A20" s="9" t="s">
        <v>537</v>
      </c>
      <c r="B20" s="10" t="s">
        <v>538</v>
      </c>
      <c r="E20" s="23">
        <f t="shared" si="0"/>
        <v>0</v>
      </c>
      <c r="F20" s="5">
        <f t="shared" si="2"/>
        <v>0</v>
      </c>
      <c r="H20" s="5">
        <f t="shared" si="3"/>
        <v>0</v>
      </c>
      <c r="I20" s="6">
        <f>32</f>
        <v>32</v>
      </c>
      <c r="J20" s="5">
        <f t="shared" si="4"/>
        <v>0.005409974640743872</v>
      </c>
      <c r="K20" s="15">
        <f t="shared" si="1"/>
        <v>0.0018033248802479572</v>
      </c>
      <c r="L20" s="119"/>
      <c r="M20" s="123">
        <f t="shared" si="5"/>
        <v>319.8682472809242</v>
      </c>
      <c r="N20" s="55"/>
    </row>
    <row r="21" spans="1:14" ht="12.75">
      <c r="A21" s="9" t="s">
        <v>539</v>
      </c>
      <c r="B21" s="10" t="s">
        <v>540</v>
      </c>
      <c r="C21" s="11">
        <f>5</f>
        <v>5</v>
      </c>
      <c r="D21" s="11">
        <f>4</f>
        <v>4</v>
      </c>
      <c r="E21" s="23">
        <f t="shared" si="0"/>
        <v>9</v>
      </c>
      <c r="F21" s="5">
        <f t="shared" si="2"/>
        <v>0.002439685551640011</v>
      </c>
      <c r="G21" s="6">
        <f>38+16+13</f>
        <v>67</v>
      </c>
      <c r="H21" s="5">
        <f t="shared" si="3"/>
        <v>0.06588003933136677</v>
      </c>
      <c r="I21" s="6">
        <f>208</f>
        <v>208</v>
      </c>
      <c r="J21" s="5">
        <f t="shared" si="4"/>
        <v>0.035164835164835165</v>
      </c>
      <c r="K21" s="15">
        <f t="shared" si="1"/>
        <v>0.034494853349280645</v>
      </c>
      <c r="L21" s="119"/>
      <c r="M21" s="123">
        <f t="shared" si="5"/>
        <v>6118.5914983492985</v>
      </c>
      <c r="N21" s="55"/>
    </row>
    <row r="22" spans="1:14" ht="12.75">
      <c r="A22" s="9" t="s">
        <v>541</v>
      </c>
      <c r="B22" s="10" t="s">
        <v>542</v>
      </c>
      <c r="C22" s="11">
        <f>17</f>
        <v>17</v>
      </c>
      <c r="D22" s="11">
        <f>1</f>
        <v>1</v>
      </c>
      <c r="E22" s="23">
        <f t="shared" si="0"/>
        <v>18</v>
      </c>
      <c r="F22" s="5">
        <f t="shared" si="2"/>
        <v>0.004879371103280022</v>
      </c>
      <c r="H22" s="5">
        <f t="shared" si="3"/>
        <v>0</v>
      </c>
      <c r="I22" s="6">
        <f>24</f>
        <v>24</v>
      </c>
      <c r="J22" s="5">
        <f t="shared" si="4"/>
        <v>0.0040574809805579036</v>
      </c>
      <c r="K22" s="15">
        <f t="shared" si="1"/>
        <v>0.0029789506946126415</v>
      </c>
      <c r="L22" s="119"/>
      <c r="M22" s="123">
        <f t="shared" si="5"/>
        <v>528.397155642314</v>
      </c>
      <c r="N22" s="55"/>
    </row>
    <row r="23" spans="1:14" ht="12.75">
      <c r="A23" s="9" t="s">
        <v>543</v>
      </c>
      <c r="B23" s="10" t="s">
        <v>544</v>
      </c>
      <c r="C23" s="11">
        <f>32</f>
        <v>32</v>
      </c>
      <c r="D23" s="11">
        <f>25</f>
        <v>25</v>
      </c>
      <c r="E23" s="23">
        <f t="shared" si="0"/>
        <v>57</v>
      </c>
      <c r="F23" s="5">
        <f t="shared" si="2"/>
        <v>0.015451341827053402</v>
      </c>
      <c r="H23" s="5">
        <f t="shared" si="3"/>
        <v>0</v>
      </c>
      <c r="J23" s="5">
        <f t="shared" si="4"/>
        <v>0</v>
      </c>
      <c r="K23" s="15">
        <f t="shared" si="1"/>
        <v>0.005150447275684467</v>
      </c>
      <c r="L23" s="119"/>
      <c r="M23" s="123">
        <f t="shared" si="5"/>
        <v>913.5705722417998</v>
      </c>
      <c r="N23" s="55"/>
    </row>
    <row r="24" spans="1:14" ht="12.75">
      <c r="A24" s="9" t="s">
        <v>545</v>
      </c>
      <c r="B24" s="10" t="s">
        <v>546</v>
      </c>
      <c r="C24" s="11">
        <f>74</f>
        <v>74</v>
      </c>
      <c r="D24" s="11">
        <f>69</f>
        <v>69</v>
      </c>
      <c r="E24" s="23">
        <f t="shared" si="0"/>
        <v>143</v>
      </c>
      <c r="F24" s="5">
        <f t="shared" si="2"/>
        <v>0.03876389265383573</v>
      </c>
      <c r="H24" s="5">
        <f t="shared" si="3"/>
        <v>0</v>
      </c>
      <c r="J24" s="5">
        <f t="shared" si="4"/>
        <v>0</v>
      </c>
      <c r="K24" s="15">
        <f t="shared" si="1"/>
        <v>0.012921297551278577</v>
      </c>
      <c r="L24" s="119"/>
      <c r="M24" s="123">
        <f t="shared" si="5"/>
        <v>2291.9402075539892</v>
      </c>
      <c r="N24" s="55"/>
    </row>
    <row r="25" spans="1:14" ht="12.75">
      <c r="A25" s="9" t="s">
        <v>547</v>
      </c>
      <c r="B25" s="10" t="s">
        <v>548</v>
      </c>
      <c r="C25" s="11">
        <f>155</f>
        <v>155</v>
      </c>
      <c r="D25" s="11">
        <f>121</f>
        <v>121</v>
      </c>
      <c r="E25" s="23">
        <f t="shared" si="0"/>
        <v>276</v>
      </c>
      <c r="F25" s="5">
        <f t="shared" si="2"/>
        <v>0.074817023583627</v>
      </c>
      <c r="G25" s="6">
        <f>1</f>
        <v>1</v>
      </c>
      <c r="H25" s="5">
        <f t="shared" si="3"/>
        <v>0.0009832841691248771</v>
      </c>
      <c r="I25" s="6">
        <f>122</f>
        <v>122</v>
      </c>
      <c r="J25" s="5">
        <f t="shared" si="4"/>
        <v>0.02062552831783601</v>
      </c>
      <c r="K25" s="15">
        <f t="shared" si="1"/>
        <v>0.032141945356862635</v>
      </c>
      <c r="L25" s="119"/>
      <c r="M25" s="123">
        <f t="shared" si="5"/>
        <v>5701.239880905557</v>
      </c>
      <c r="N25" s="55"/>
    </row>
    <row r="26" spans="1:14" ht="13.5" collapsed="1" thickBot="1">
      <c r="A26" s="24" t="s">
        <v>549</v>
      </c>
      <c r="B26" s="28"/>
      <c r="C26" s="24">
        <f aca="true" t="shared" si="6" ref="C26:J26">SUM(C7:C25)</f>
        <v>2375</v>
      </c>
      <c r="D26" s="24">
        <f t="shared" si="6"/>
        <v>1314</v>
      </c>
      <c r="E26" s="24">
        <f t="shared" si="6"/>
        <v>3689</v>
      </c>
      <c r="F26" s="25">
        <f t="shared" si="6"/>
        <v>1</v>
      </c>
      <c r="G26" s="1">
        <f t="shared" si="6"/>
        <v>1017</v>
      </c>
      <c r="H26" s="25">
        <f t="shared" si="6"/>
        <v>1</v>
      </c>
      <c r="I26" s="1">
        <f t="shared" si="6"/>
        <v>5915</v>
      </c>
      <c r="J26" s="25">
        <f t="shared" si="6"/>
        <v>1</v>
      </c>
      <c r="K26" s="15">
        <f t="shared" si="1"/>
        <v>1</v>
      </c>
      <c r="L26" s="131"/>
      <c r="M26" s="133">
        <v>177376.93899999998</v>
      </c>
      <c r="N26" s="75"/>
    </row>
    <row r="27" ht="12.75">
      <c r="M27" s="134"/>
    </row>
    <row r="28" ht="12.75">
      <c r="M28" s="134">
        <f>SUM(M7:M25)</f>
        <v>177376.93899999995</v>
      </c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xSplit="1" ySplit="5" topLeftCell="B6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40.421875" style="9" bestFit="1" customWidth="1"/>
    <col min="2" max="2" width="8.140625" style="10" hidden="1" customWidth="1"/>
    <col min="3" max="3" width="4.00390625" style="11" hidden="1" customWidth="1"/>
    <col min="4" max="4" width="3.00390625" style="11" hidden="1" customWidth="1"/>
    <col min="5" max="5" width="7.28125" style="4" hidden="1" customWidth="1"/>
    <col min="6" max="6" width="7.28125" style="5" hidden="1" customWidth="1"/>
    <col min="7" max="7" width="11.7109375" style="6" hidden="1" customWidth="1"/>
    <col min="8" max="8" width="7.28125" style="5" hidden="1" customWidth="1"/>
    <col min="9" max="9" width="15.00390625" style="6" hidden="1" customWidth="1"/>
    <col min="10" max="10" width="7.28125" style="5" hidden="1" customWidth="1"/>
    <col min="11" max="11" width="8.57421875" style="7" hidden="1" customWidth="1"/>
    <col min="12" max="12" width="6.7109375" style="9" customWidth="1"/>
    <col min="13" max="13" width="9.7109375" style="9" customWidth="1"/>
    <col min="14" max="14" width="6.7109375" style="9" customWidth="1"/>
    <col min="15" max="16384" width="6.8515625" style="9" customWidth="1"/>
  </cols>
  <sheetData>
    <row r="1" spans="1:4" ht="12.75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2.75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17</v>
      </c>
      <c r="B6" s="2"/>
      <c r="C6" s="3"/>
      <c r="D6" s="3"/>
      <c r="L6" s="119"/>
      <c r="M6" s="120"/>
      <c r="N6" s="55"/>
    </row>
    <row r="7" spans="1:14" s="6" customFormat="1" ht="12.75">
      <c r="A7" s="6" t="s">
        <v>18</v>
      </c>
      <c r="B7" s="21" t="s">
        <v>19</v>
      </c>
      <c r="C7" s="22"/>
      <c r="D7" s="22"/>
      <c r="E7" s="23">
        <f aca="true" t="shared" si="0" ref="E7:E22">C7+D7</f>
        <v>0</v>
      </c>
      <c r="F7" s="5">
        <f>+E7/$E$23</f>
        <v>0</v>
      </c>
      <c r="G7" s="6">
        <f>3</f>
        <v>3</v>
      </c>
      <c r="H7" s="5">
        <f>+G7/$G$23</f>
        <v>0.02654867256637168</v>
      </c>
      <c r="I7" s="6">
        <f>5</f>
        <v>5</v>
      </c>
      <c r="J7" s="5">
        <f>+I7/$I$23</f>
        <v>0.004748338081671415</v>
      </c>
      <c r="K7" s="15">
        <f aca="true" t="shared" si="1" ref="K7:K23">+(F7+H7+J7)/3</f>
        <v>0.010432336882681033</v>
      </c>
      <c r="L7" s="121"/>
      <c r="M7" s="123">
        <f>K7*$M$23</f>
        <v>185.92259164348525</v>
      </c>
      <c r="N7" s="122"/>
    </row>
    <row r="8" spans="1:14" ht="12.75">
      <c r="A8" s="9" t="s">
        <v>20</v>
      </c>
      <c r="B8" s="10" t="s">
        <v>21</v>
      </c>
      <c r="C8" s="11">
        <f>57</f>
        <v>57</v>
      </c>
      <c r="D8" s="11">
        <f>44</f>
        <v>44</v>
      </c>
      <c r="E8" s="23">
        <f t="shared" si="0"/>
        <v>101</v>
      </c>
      <c r="F8" s="5">
        <f aca="true" t="shared" si="2" ref="F8:F22">+E8/$E$23</f>
        <v>0.696551724137931</v>
      </c>
      <c r="G8" s="6">
        <f>2+2</f>
        <v>4</v>
      </c>
      <c r="H8" s="5">
        <f aca="true" t="shared" si="3" ref="H8:H22">+G8/$G$23</f>
        <v>0.035398230088495575</v>
      </c>
      <c r="I8" s="6">
        <f>20+37</f>
        <v>57</v>
      </c>
      <c r="J8" s="5">
        <f aca="true" t="shared" si="4" ref="J8:J22">+I8/$I$23</f>
        <v>0.05413105413105413</v>
      </c>
      <c r="K8" s="15">
        <f t="shared" si="1"/>
        <v>0.26202700278582686</v>
      </c>
      <c r="L8" s="119"/>
      <c r="M8" s="123">
        <f aca="true" t="shared" si="5" ref="M8:M22">K8*$M$23</f>
        <v>4669.782042735934</v>
      </c>
      <c r="N8" s="55"/>
    </row>
    <row r="9" spans="1:14" ht="12.75">
      <c r="A9" s="9" t="s">
        <v>22</v>
      </c>
      <c r="B9" s="10" t="s">
        <v>23</v>
      </c>
      <c r="E9" s="23">
        <f t="shared" si="0"/>
        <v>0</v>
      </c>
      <c r="F9" s="5">
        <f t="shared" si="2"/>
        <v>0</v>
      </c>
      <c r="H9" s="5">
        <f t="shared" si="3"/>
        <v>0</v>
      </c>
      <c r="I9" s="6">
        <f>20</f>
        <v>20</v>
      </c>
      <c r="J9" s="5">
        <f t="shared" si="4"/>
        <v>0.01899335232668566</v>
      </c>
      <c r="K9" s="15">
        <f t="shared" si="1"/>
        <v>0.006331117442228553</v>
      </c>
      <c r="L9" s="119"/>
      <c r="M9" s="123">
        <f t="shared" si="5"/>
        <v>112.8316479898702</v>
      </c>
      <c r="N9" s="55"/>
    </row>
    <row r="10" spans="1:14" ht="12.75">
      <c r="A10" s="9" t="s">
        <v>24</v>
      </c>
      <c r="B10" s="10" t="s">
        <v>25</v>
      </c>
      <c r="E10" s="23">
        <f t="shared" si="0"/>
        <v>0</v>
      </c>
      <c r="F10" s="5">
        <f t="shared" si="2"/>
        <v>0</v>
      </c>
      <c r="G10" s="6">
        <f>10</f>
        <v>10</v>
      </c>
      <c r="H10" s="5">
        <f t="shared" si="3"/>
        <v>0.08849557522123894</v>
      </c>
      <c r="I10" s="6">
        <f>20</f>
        <v>20</v>
      </c>
      <c r="J10" s="5">
        <f t="shared" si="4"/>
        <v>0.01899335232668566</v>
      </c>
      <c r="K10" s="15">
        <f t="shared" si="1"/>
        <v>0.03582964251597486</v>
      </c>
      <c r="L10" s="119"/>
      <c r="M10" s="123">
        <f t="shared" si="5"/>
        <v>638.5472468099291</v>
      </c>
      <c r="N10" s="55"/>
    </row>
    <row r="11" spans="1:14" ht="12.75">
      <c r="A11" s="9" t="s">
        <v>26</v>
      </c>
      <c r="B11" s="10" t="s">
        <v>27</v>
      </c>
      <c r="E11" s="23">
        <f t="shared" si="0"/>
        <v>0</v>
      </c>
      <c r="F11" s="5">
        <f t="shared" si="2"/>
        <v>0</v>
      </c>
      <c r="H11" s="5">
        <f t="shared" si="3"/>
        <v>0</v>
      </c>
      <c r="I11" s="6">
        <f>36</f>
        <v>36</v>
      </c>
      <c r="J11" s="5">
        <f t="shared" si="4"/>
        <v>0.03418803418803419</v>
      </c>
      <c r="K11" s="15">
        <f t="shared" si="1"/>
        <v>0.011396011396011397</v>
      </c>
      <c r="L11" s="119"/>
      <c r="M11" s="123">
        <f t="shared" si="5"/>
        <v>203.09696638176638</v>
      </c>
      <c r="N11" s="55"/>
    </row>
    <row r="12" spans="1:14" ht="12.75">
      <c r="A12" s="9" t="s">
        <v>28</v>
      </c>
      <c r="B12" s="10" t="s">
        <v>29</v>
      </c>
      <c r="E12" s="23">
        <f t="shared" si="0"/>
        <v>0</v>
      </c>
      <c r="F12" s="5">
        <f t="shared" si="2"/>
        <v>0</v>
      </c>
      <c r="G12" s="6">
        <f>7</f>
        <v>7</v>
      </c>
      <c r="H12" s="5">
        <f t="shared" si="3"/>
        <v>0.061946902654867256</v>
      </c>
      <c r="I12" s="6">
        <f>555</f>
        <v>555</v>
      </c>
      <c r="J12" s="5">
        <f t="shared" si="4"/>
        <v>0.5270655270655271</v>
      </c>
      <c r="K12" s="15">
        <f t="shared" si="1"/>
        <v>0.1963374765734648</v>
      </c>
      <c r="L12" s="119"/>
      <c r="M12" s="123">
        <f t="shared" si="5"/>
        <v>3499.0791508929397</v>
      </c>
      <c r="N12" s="55"/>
    </row>
    <row r="13" spans="1:14" ht="12.75">
      <c r="A13" s="9" t="s">
        <v>30</v>
      </c>
      <c r="B13" s="10" t="s">
        <v>31</v>
      </c>
      <c r="E13" s="23">
        <f t="shared" si="0"/>
        <v>0</v>
      </c>
      <c r="F13" s="5">
        <f t="shared" si="2"/>
        <v>0</v>
      </c>
      <c r="H13" s="5">
        <f t="shared" si="3"/>
        <v>0</v>
      </c>
      <c r="I13" s="6">
        <f>68</f>
        <v>68</v>
      </c>
      <c r="J13" s="5">
        <f t="shared" si="4"/>
        <v>0.06457739791073125</v>
      </c>
      <c r="K13" s="15">
        <f t="shared" si="1"/>
        <v>0.021525799303577082</v>
      </c>
      <c r="L13" s="119"/>
      <c r="M13" s="123">
        <f t="shared" si="5"/>
        <v>383.6276031655587</v>
      </c>
      <c r="N13" s="55"/>
    </row>
    <row r="14" spans="1:14" ht="12.75">
      <c r="A14" s="9" t="s">
        <v>32</v>
      </c>
      <c r="B14" s="10" t="s">
        <v>33</v>
      </c>
      <c r="E14" s="23">
        <f t="shared" si="0"/>
        <v>0</v>
      </c>
      <c r="F14" s="5">
        <f t="shared" si="2"/>
        <v>0</v>
      </c>
      <c r="G14" s="6">
        <f>6+44</f>
        <v>50</v>
      </c>
      <c r="H14" s="5">
        <f t="shared" si="3"/>
        <v>0.4424778761061947</v>
      </c>
      <c r="I14" s="6">
        <f>78</f>
        <v>78</v>
      </c>
      <c r="J14" s="5">
        <f t="shared" si="4"/>
        <v>0.07407407407407407</v>
      </c>
      <c r="K14" s="15">
        <f t="shared" si="1"/>
        <v>0.17218398339342292</v>
      </c>
      <c r="L14" s="119"/>
      <c r="M14" s="123">
        <f t="shared" si="5"/>
        <v>3068.621421260789</v>
      </c>
      <c r="N14" s="55"/>
    </row>
    <row r="15" spans="1:14" ht="12.75">
      <c r="A15" s="9" t="s">
        <v>34</v>
      </c>
      <c r="B15" s="10" t="s">
        <v>35</v>
      </c>
      <c r="E15" s="23">
        <f t="shared" si="0"/>
        <v>0</v>
      </c>
      <c r="F15" s="5">
        <f t="shared" si="2"/>
        <v>0</v>
      </c>
      <c r="G15" s="6">
        <f>2</f>
        <v>2</v>
      </c>
      <c r="H15" s="5">
        <f t="shared" si="3"/>
        <v>0.017699115044247787</v>
      </c>
      <c r="I15" s="6">
        <f>42+2</f>
        <v>44</v>
      </c>
      <c r="J15" s="5">
        <f t="shared" si="4"/>
        <v>0.04178537511870845</v>
      </c>
      <c r="K15" s="15">
        <f t="shared" si="1"/>
        <v>0.01982816338765208</v>
      </c>
      <c r="L15" s="119"/>
      <c r="M15" s="123">
        <f t="shared" si="5"/>
        <v>353.3727453417263</v>
      </c>
      <c r="N15" s="55"/>
    </row>
    <row r="16" spans="1:14" ht="12.75">
      <c r="A16" s="6" t="s">
        <v>36</v>
      </c>
      <c r="B16" s="10" t="s">
        <v>37</v>
      </c>
      <c r="C16" s="11">
        <f>24</f>
        <v>24</v>
      </c>
      <c r="D16" s="11">
        <f>18</f>
        <v>18</v>
      </c>
      <c r="E16" s="23">
        <f t="shared" si="0"/>
        <v>42</v>
      </c>
      <c r="F16" s="5">
        <f t="shared" si="2"/>
        <v>0.2896551724137931</v>
      </c>
      <c r="G16" s="6">
        <f>1+2+3+7+10</f>
        <v>23</v>
      </c>
      <c r="H16" s="5">
        <f t="shared" si="3"/>
        <v>0.20353982300884957</v>
      </c>
      <c r="I16" s="6">
        <f>130</f>
        <v>130</v>
      </c>
      <c r="J16" s="5">
        <f t="shared" si="4"/>
        <v>0.12345679012345678</v>
      </c>
      <c r="K16" s="15">
        <f t="shared" si="1"/>
        <v>0.20555059518203314</v>
      </c>
      <c r="L16" s="119"/>
      <c r="M16" s="123">
        <f t="shared" si="5"/>
        <v>3663.2731285306368</v>
      </c>
      <c r="N16" s="55"/>
    </row>
    <row r="17" spans="1:14" ht="12.75">
      <c r="A17" s="6" t="s">
        <v>38</v>
      </c>
      <c r="B17" s="10" t="s">
        <v>39</v>
      </c>
      <c r="D17" s="11">
        <f>2</f>
        <v>2</v>
      </c>
      <c r="E17" s="23">
        <f t="shared" si="0"/>
        <v>2</v>
      </c>
      <c r="F17" s="5">
        <f t="shared" si="2"/>
        <v>0.013793103448275862</v>
      </c>
      <c r="H17" s="5">
        <f t="shared" si="3"/>
        <v>0</v>
      </c>
      <c r="I17" s="6">
        <v>2</v>
      </c>
      <c r="J17" s="5">
        <f t="shared" si="4"/>
        <v>0.001899335232668566</v>
      </c>
      <c r="K17" s="15">
        <f t="shared" si="1"/>
        <v>0.005230812893648143</v>
      </c>
      <c r="L17" s="119"/>
      <c r="M17" s="123">
        <f t="shared" si="5"/>
        <v>93.22228571852726</v>
      </c>
      <c r="N17" s="55"/>
    </row>
    <row r="18" spans="1:14" ht="12.75">
      <c r="A18" s="6" t="s">
        <v>40</v>
      </c>
      <c r="B18" s="10" t="s">
        <v>41</v>
      </c>
      <c r="E18" s="23">
        <f t="shared" si="0"/>
        <v>0</v>
      </c>
      <c r="F18" s="5">
        <f t="shared" si="2"/>
        <v>0</v>
      </c>
      <c r="G18" s="6">
        <f>10</f>
        <v>10</v>
      </c>
      <c r="H18" s="5">
        <f t="shared" si="3"/>
        <v>0.08849557522123894</v>
      </c>
      <c r="I18" s="6">
        <f>6</f>
        <v>6</v>
      </c>
      <c r="J18" s="5">
        <f t="shared" si="4"/>
        <v>0.005698005698005698</v>
      </c>
      <c r="K18" s="15">
        <f t="shared" si="1"/>
        <v>0.03139786030641488</v>
      </c>
      <c r="L18" s="119"/>
      <c r="M18" s="123">
        <f t="shared" si="5"/>
        <v>559.56509321702</v>
      </c>
      <c r="N18" s="55"/>
    </row>
    <row r="19" spans="1:14" ht="12.75">
      <c r="A19" s="9" t="s">
        <v>42</v>
      </c>
      <c r="B19" s="10" t="s">
        <v>43</v>
      </c>
      <c r="E19" s="23">
        <f t="shared" si="0"/>
        <v>0</v>
      </c>
      <c r="F19" s="5">
        <f t="shared" si="2"/>
        <v>0</v>
      </c>
      <c r="H19" s="5">
        <f t="shared" si="3"/>
        <v>0</v>
      </c>
      <c r="I19" s="6">
        <f>3</f>
        <v>3</v>
      </c>
      <c r="J19" s="5">
        <f t="shared" si="4"/>
        <v>0.002849002849002849</v>
      </c>
      <c r="K19" s="15">
        <f t="shared" si="1"/>
        <v>0.000949667616334283</v>
      </c>
      <c r="L19" s="119"/>
      <c r="M19" s="123">
        <f t="shared" si="5"/>
        <v>16.92474719848053</v>
      </c>
      <c r="N19" s="55"/>
    </row>
    <row r="20" spans="1:14" ht="12.75">
      <c r="A20" s="6" t="s">
        <v>44</v>
      </c>
      <c r="B20" s="10" t="s">
        <v>45</v>
      </c>
      <c r="E20" s="23">
        <f t="shared" si="0"/>
        <v>0</v>
      </c>
      <c r="F20" s="5">
        <f t="shared" si="2"/>
        <v>0</v>
      </c>
      <c r="H20" s="5">
        <f t="shared" si="3"/>
        <v>0</v>
      </c>
      <c r="I20" s="6">
        <f>5</f>
        <v>5</v>
      </c>
      <c r="J20" s="5">
        <f t="shared" si="4"/>
        <v>0.004748338081671415</v>
      </c>
      <c r="K20" s="15">
        <f t="shared" si="1"/>
        <v>0.0015827793605571383</v>
      </c>
      <c r="L20" s="119"/>
      <c r="M20" s="123">
        <f t="shared" si="5"/>
        <v>28.20791199746755</v>
      </c>
      <c r="N20" s="55"/>
    </row>
    <row r="21" spans="1:14" ht="12.75">
      <c r="A21" s="6" t="s">
        <v>46</v>
      </c>
      <c r="B21" s="10" t="s">
        <v>47</v>
      </c>
      <c r="E21" s="23">
        <f t="shared" si="0"/>
        <v>0</v>
      </c>
      <c r="F21" s="5">
        <f t="shared" si="2"/>
        <v>0</v>
      </c>
      <c r="G21" s="6">
        <f>4</f>
        <v>4</v>
      </c>
      <c r="H21" s="5">
        <f t="shared" si="3"/>
        <v>0.035398230088495575</v>
      </c>
      <c r="I21" s="6">
        <v>4</v>
      </c>
      <c r="J21" s="5">
        <f t="shared" si="4"/>
        <v>0.003798670465337132</v>
      </c>
      <c r="K21" s="15">
        <f t="shared" si="1"/>
        <v>0.013065633517944236</v>
      </c>
      <c r="L21" s="119"/>
      <c r="M21" s="123">
        <f t="shared" si="5"/>
        <v>232.85256912599763</v>
      </c>
      <c r="N21" s="55"/>
    </row>
    <row r="22" spans="1:14" ht="12.75">
      <c r="A22" s="9" t="s">
        <v>48</v>
      </c>
      <c r="B22" s="10" t="s">
        <v>49</v>
      </c>
      <c r="E22" s="23">
        <f t="shared" si="0"/>
        <v>0</v>
      </c>
      <c r="F22" s="5">
        <f t="shared" si="2"/>
        <v>0</v>
      </c>
      <c r="H22" s="5">
        <f t="shared" si="3"/>
        <v>0</v>
      </c>
      <c r="I22" s="6">
        <f>20</f>
        <v>20</v>
      </c>
      <c r="J22" s="5">
        <f t="shared" si="4"/>
        <v>0.01899335232668566</v>
      </c>
      <c r="K22" s="15">
        <f t="shared" si="1"/>
        <v>0.006331117442228553</v>
      </c>
      <c r="L22" s="119"/>
      <c r="M22" s="123">
        <f t="shared" si="5"/>
        <v>112.8316479898702</v>
      </c>
      <c r="N22" s="55"/>
    </row>
    <row r="23" spans="1:14" s="1" customFormat="1" ht="13.5" thickBot="1">
      <c r="A23" s="24" t="s">
        <v>50</v>
      </c>
      <c r="B23" s="2"/>
      <c r="C23" s="24">
        <f aca="true" t="shared" si="6" ref="C23:J23">SUM(C7:C22)</f>
        <v>81</v>
      </c>
      <c r="D23" s="24">
        <f t="shared" si="6"/>
        <v>64</v>
      </c>
      <c r="E23" s="24">
        <f t="shared" si="6"/>
        <v>145</v>
      </c>
      <c r="F23" s="25">
        <f t="shared" si="6"/>
        <v>1</v>
      </c>
      <c r="G23" s="24">
        <f t="shared" si="6"/>
        <v>113</v>
      </c>
      <c r="H23" s="25">
        <f t="shared" si="6"/>
        <v>1</v>
      </c>
      <c r="I23" s="24">
        <f t="shared" si="6"/>
        <v>1053</v>
      </c>
      <c r="J23" s="25">
        <f t="shared" si="6"/>
        <v>1.0000000000000002</v>
      </c>
      <c r="K23" s="15">
        <f t="shared" si="1"/>
        <v>1</v>
      </c>
      <c r="L23" s="124"/>
      <c r="M23" s="125">
        <v>17821.7588</v>
      </c>
      <c r="N23" s="126"/>
    </row>
    <row r="24" ht="12.75">
      <c r="K24" s="15"/>
    </row>
    <row r="25" ht="12.75">
      <c r="M25" s="134">
        <f>SUM(M7:M22)</f>
        <v>17821.758799999996</v>
      </c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xSplit="1" ySplit="5" topLeftCell="L33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47.57421875" style="9" bestFit="1" customWidth="1"/>
    <col min="2" max="2" width="8.140625" style="10" hidden="1" customWidth="1"/>
    <col min="3" max="3" width="5.00390625" style="11" hidden="1" customWidth="1"/>
    <col min="4" max="4" width="4.00390625" style="11" hidden="1" customWidth="1"/>
    <col min="5" max="5" width="7.28125" style="4" hidden="1" customWidth="1"/>
    <col min="6" max="6" width="7.28125" style="5" hidden="1" customWidth="1"/>
    <col min="7" max="7" width="11.7109375" style="6" hidden="1" customWidth="1"/>
    <col min="8" max="8" width="7.00390625" style="5" hidden="1" customWidth="1"/>
    <col min="9" max="9" width="15.00390625" style="6" hidden="1" customWidth="1"/>
    <col min="10" max="10" width="7.00390625" style="5" hidden="1" customWidth="1"/>
    <col min="11" max="11" width="8.57421875" style="7" hidden="1" customWidth="1"/>
    <col min="12" max="12" width="6.7109375" style="9" customWidth="1"/>
    <col min="13" max="13" width="9.7109375" style="9" customWidth="1"/>
    <col min="14" max="14" width="6.7109375" style="9" customWidth="1"/>
    <col min="15" max="16384" width="6.8515625" style="9" customWidth="1"/>
  </cols>
  <sheetData>
    <row r="1" spans="1:4" ht="12.75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2.75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207</v>
      </c>
      <c r="B6" s="2"/>
      <c r="C6" s="3"/>
      <c r="D6" s="3"/>
      <c r="L6" s="119"/>
      <c r="M6" s="120"/>
      <c r="N6" s="55"/>
    </row>
    <row r="7" spans="1:14" ht="12.75">
      <c r="A7" s="6" t="s">
        <v>208</v>
      </c>
      <c r="B7" s="21" t="s">
        <v>209</v>
      </c>
      <c r="C7" s="22">
        <f>1</f>
        <v>1</v>
      </c>
      <c r="D7" s="22"/>
      <c r="E7" s="23">
        <f aca="true" t="shared" si="0" ref="E7:E51">C7+D7</f>
        <v>1</v>
      </c>
      <c r="F7" s="5">
        <f>+E7/E$52</f>
        <v>0.0008130081300813008</v>
      </c>
      <c r="H7" s="5">
        <f>+G7/G$52</f>
        <v>0</v>
      </c>
      <c r="I7" s="6">
        <f>562</f>
        <v>562</v>
      </c>
      <c r="J7" s="5">
        <f>+I7/I$52</f>
        <v>0.08560548362528561</v>
      </c>
      <c r="K7" s="15">
        <f aca="true" t="shared" si="1" ref="K7:K52">+(F7+H7+J7)/3</f>
        <v>0.028806163918455637</v>
      </c>
      <c r="L7" s="119"/>
      <c r="M7" s="123">
        <f>K7*$M$52</f>
        <v>3656.5968066747578</v>
      </c>
      <c r="N7" s="55"/>
    </row>
    <row r="8" spans="1:14" ht="12.75">
      <c r="A8" s="6" t="s">
        <v>210</v>
      </c>
      <c r="B8" s="21" t="s">
        <v>211</v>
      </c>
      <c r="C8" s="22"/>
      <c r="D8" s="22">
        <f>7</f>
        <v>7</v>
      </c>
      <c r="E8" s="23">
        <f t="shared" si="0"/>
        <v>7</v>
      </c>
      <c r="F8" s="5">
        <f aca="true" t="shared" si="2" ref="F8:F51">+E8/E$52</f>
        <v>0.005691056910569106</v>
      </c>
      <c r="H8" s="5">
        <f aca="true" t="shared" si="3" ref="H8:H51">+G8/G$52</f>
        <v>0</v>
      </c>
      <c r="J8" s="5">
        <f aca="true" t="shared" si="4" ref="J8:J51">+I8/I$52</f>
        <v>0</v>
      </c>
      <c r="K8" s="15">
        <f t="shared" si="1"/>
        <v>0.0018970189701897021</v>
      </c>
      <c r="L8" s="119"/>
      <c r="M8" s="123">
        <f aca="true" t="shared" si="5" ref="M8:M51">K8*$M$52</f>
        <v>240.80379214092142</v>
      </c>
      <c r="N8" s="55"/>
    </row>
    <row r="9" spans="1:14" ht="12.75">
      <c r="A9" s="6" t="s">
        <v>212</v>
      </c>
      <c r="B9" s="21" t="s">
        <v>213</v>
      </c>
      <c r="C9" s="22">
        <f>31</f>
        <v>31</v>
      </c>
      <c r="D9" s="22">
        <f>2</f>
        <v>2</v>
      </c>
      <c r="E9" s="23">
        <f t="shared" si="0"/>
        <v>33</v>
      </c>
      <c r="F9" s="5">
        <f t="shared" si="2"/>
        <v>0.026829268292682926</v>
      </c>
      <c r="G9" s="6">
        <f>3</f>
        <v>3</v>
      </c>
      <c r="H9" s="5">
        <f t="shared" si="3"/>
        <v>0.003416856492027335</v>
      </c>
      <c r="I9" s="6">
        <f>41</f>
        <v>41</v>
      </c>
      <c r="J9" s="5">
        <f t="shared" si="4"/>
        <v>0.0062452399086062454</v>
      </c>
      <c r="K9" s="15">
        <f t="shared" si="1"/>
        <v>0.012163788231105503</v>
      </c>
      <c r="L9" s="119"/>
      <c r="M9" s="123">
        <f t="shared" si="5"/>
        <v>1544.046938316282</v>
      </c>
      <c r="N9" s="55"/>
    </row>
    <row r="10" spans="1:14" ht="12.75">
      <c r="A10" s="6" t="s">
        <v>214</v>
      </c>
      <c r="B10" s="21" t="s">
        <v>215</v>
      </c>
      <c r="C10" s="22"/>
      <c r="D10" s="22"/>
      <c r="E10" s="23">
        <f t="shared" si="0"/>
        <v>0</v>
      </c>
      <c r="F10" s="5">
        <f t="shared" si="2"/>
        <v>0</v>
      </c>
      <c r="G10" s="6">
        <f>115+37+5+40+6</f>
        <v>203</v>
      </c>
      <c r="H10" s="5">
        <f t="shared" si="3"/>
        <v>0.23120728929384965</v>
      </c>
      <c r="I10" s="6">
        <f>324</f>
        <v>324</v>
      </c>
      <c r="J10" s="5">
        <f t="shared" si="4"/>
        <v>0.04935262757044935</v>
      </c>
      <c r="K10" s="15">
        <f t="shared" si="1"/>
        <v>0.09351997228809966</v>
      </c>
      <c r="L10" s="119"/>
      <c r="M10" s="123">
        <f t="shared" si="5"/>
        <v>11871.238148786822</v>
      </c>
      <c r="N10" s="55"/>
    </row>
    <row r="11" spans="1:14" ht="12.75">
      <c r="A11" s="6" t="s">
        <v>216</v>
      </c>
      <c r="B11" s="21" t="s">
        <v>217</v>
      </c>
      <c r="C11" s="22">
        <f>328</f>
        <v>328</v>
      </c>
      <c r="D11" s="22">
        <f>17</f>
        <v>17</v>
      </c>
      <c r="E11" s="23">
        <f t="shared" si="0"/>
        <v>345</v>
      </c>
      <c r="F11" s="5">
        <f t="shared" si="2"/>
        <v>0.2804878048780488</v>
      </c>
      <c r="G11" s="6">
        <f>31</f>
        <v>31</v>
      </c>
      <c r="H11" s="5">
        <f t="shared" si="3"/>
        <v>0.03530751708428246</v>
      </c>
      <c r="I11" s="6">
        <f>34</f>
        <v>34</v>
      </c>
      <c r="J11" s="5">
        <f t="shared" si="4"/>
        <v>0.005178979436405179</v>
      </c>
      <c r="K11" s="15">
        <f t="shared" si="1"/>
        <v>0.10699143379957882</v>
      </c>
      <c r="L11" s="119"/>
      <c r="M11" s="123">
        <f t="shared" si="5"/>
        <v>13581.278516659502</v>
      </c>
      <c r="N11" s="55"/>
    </row>
    <row r="12" spans="1:14" ht="12.75">
      <c r="A12" s="6" t="s">
        <v>218</v>
      </c>
      <c r="B12" s="21" t="s">
        <v>219</v>
      </c>
      <c r="C12" s="22"/>
      <c r="D12" s="22"/>
      <c r="E12" s="23">
        <f t="shared" si="0"/>
        <v>0</v>
      </c>
      <c r="F12" s="5">
        <f t="shared" si="2"/>
        <v>0</v>
      </c>
      <c r="G12" s="6">
        <f>10</f>
        <v>10</v>
      </c>
      <c r="H12" s="5">
        <f t="shared" si="3"/>
        <v>0.011389521640091117</v>
      </c>
      <c r="I12" s="6">
        <f>38</f>
        <v>38</v>
      </c>
      <c r="J12" s="5">
        <f t="shared" si="4"/>
        <v>0.005788271134805788</v>
      </c>
      <c r="K12" s="15">
        <f t="shared" si="1"/>
        <v>0.005725930924965635</v>
      </c>
      <c r="L12" s="119"/>
      <c r="M12" s="123">
        <f t="shared" si="5"/>
        <v>726.8382140273568</v>
      </c>
      <c r="N12" s="55"/>
    </row>
    <row r="13" spans="1:14" ht="12.75">
      <c r="A13" s="6" t="s">
        <v>220</v>
      </c>
      <c r="B13" s="21" t="s">
        <v>221</v>
      </c>
      <c r="C13" s="22"/>
      <c r="D13" s="22"/>
      <c r="E13" s="23">
        <f t="shared" si="0"/>
        <v>0</v>
      </c>
      <c r="F13" s="5">
        <f t="shared" si="2"/>
        <v>0</v>
      </c>
      <c r="G13" s="6">
        <v>2</v>
      </c>
      <c r="H13" s="5">
        <f t="shared" si="3"/>
        <v>0.002277904328018223</v>
      </c>
      <c r="I13" s="6">
        <f>86</f>
        <v>86</v>
      </c>
      <c r="J13" s="5">
        <f t="shared" si="4"/>
        <v>0.0130997715156131</v>
      </c>
      <c r="K13" s="15">
        <f t="shared" si="1"/>
        <v>0.005125891947877108</v>
      </c>
      <c r="L13" s="119"/>
      <c r="M13" s="123">
        <f t="shared" si="5"/>
        <v>650.6704669537323</v>
      </c>
      <c r="N13" s="55"/>
    </row>
    <row r="14" spans="1:14" ht="12.75">
      <c r="A14" s="6" t="s">
        <v>222</v>
      </c>
      <c r="B14" s="21" t="s">
        <v>223</v>
      </c>
      <c r="C14" s="22">
        <f>8</f>
        <v>8</v>
      </c>
      <c r="D14" s="22">
        <f>3</f>
        <v>3</v>
      </c>
      <c r="E14" s="23">
        <f t="shared" si="0"/>
        <v>11</v>
      </c>
      <c r="F14" s="5">
        <f t="shared" si="2"/>
        <v>0.00894308943089431</v>
      </c>
      <c r="G14" s="6">
        <f>1+50</f>
        <v>51</v>
      </c>
      <c r="H14" s="5">
        <f t="shared" si="3"/>
        <v>0.05808656036446469</v>
      </c>
      <c r="I14" s="6">
        <f>196+257</f>
        <v>453</v>
      </c>
      <c r="J14" s="5">
        <f t="shared" si="4"/>
        <v>0.069002284843869</v>
      </c>
      <c r="K14" s="15">
        <f t="shared" si="1"/>
        <v>0.045343978213076</v>
      </c>
      <c r="L14" s="119"/>
      <c r="M14" s="123">
        <f t="shared" si="5"/>
        <v>5755.873861067463</v>
      </c>
      <c r="N14" s="55"/>
    </row>
    <row r="15" spans="1:14" ht="12.75">
      <c r="A15" s="6" t="s">
        <v>224</v>
      </c>
      <c r="B15" s="21" t="s">
        <v>225</v>
      </c>
      <c r="C15" s="22">
        <f>10</f>
        <v>10</v>
      </c>
      <c r="D15" s="22">
        <f>5</f>
        <v>5</v>
      </c>
      <c r="E15" s="23">
        <f t="shared" si="0"/>
        <v>15</v>
      </c>
      <c r="F15" s="5">
        <f t="shared" si="2"/>
        <v>0.012195121951219513</v>
      </c>
      <c r="G15" s="6">
        <f>30</f>
        <v>30</v>
      </c>
      <c r="H15" s="5">
        <f t="shared" si="3"/>
        <v>0.03416856492027335</v>
      </c>
      <c r="I15" s="6">
        <f>125</f>
        <v>125</v>
      </c>
      <c r="J15" s="5">
        <f t="shared" si="4"/>
        <v>0.01904036557501904</v>
      </c>
      <c r="K15" s="15">
        <f t="shared" si="1"/>
        <v>0.021801350815503967</v>
      </c>
      <c r="L15" s="119"/>
      <c r="M15" s="123">
        <f t="shared" si="5"/>
        <v>2767.4198480170917</v>
      </c>
      <c r="N15" s="55"/>
    </row>
    <row r="16" spans="1:14" ht="12.75">
      <c r="A16" s="6" t="s">
        <v>226</v>
      </c>
      <c r="B16" s="21" t="s">
        <v>227</v>
      </c>
      <c r="C16" s="22"/>
      <c r="D16" s="22"/>
      <c r="E16" s="23">
        <f t="shared" si="0"/>
        <v>0</v>
      </c>
      <c r="F16" s="5">
        <f t="shared" si="2"/>
        <v>0</v>
      </c>
      <c r="G16" s="6">
        <f>16+1</f>
        <v>17</v>
      </c>
      <c r="H16" s="5">
        <f t="shared" si="3"/>
        <v>0.0193621867881549</v>
      </c>
      <c r="I16" s="6">
        <f>283</f>
        <v>283</v>
      </c>
      <c r="J16" s="5">
        <f t="shared" si="4"/>
        <v>0.043107387661843105</v>
      </c>
      <c r="K16" s="15">
        <f t="shared" si="1"/>
        <v>0.020823191483332667</v>
      </c>
      <c r="L16" s="119"/>
      <c r="M16" s="123">
        <f t="shared" si="5"/>
        <v>2643.2542596880903</v>
      </c>
      <c r="N16" s="55"/>
    </row>
    <row r="17" spans="1:14" ht="12.75">
      <c r="A17" s="6" t="s">
        <v>228</v>
      </c>
      <c r="B17" s="21" t="s">
        <v>229</v>
      </c>
      <c r="C17" s="22"/>
      <c r="D17" s="22"/>
      <c r="E17" s="23">
        <f t="shared" si="0"/>
        <v>0</v>
      </c>
      <c r="F17" s="5">
        <f t="shared" si="2"/>
        <v>0</v>
      </c>
      <c r="H17" s="5">
        <f t="shared" si="3"/>
        <v>0</v>
      </c>
      <c r="I17" s="6">
        <f>11</f>
        <v>11</v>
      </c>
      <c r="J17" s="5">
        <f t="shared" si="4"/>
        <v>0.0016755521706016757</v>
      </c>
      <c r="K17" s="15">
        <f t="shared" si="1"/>
        <v>0.0005585173902005585</v>
      </c>
      <c r="L17" s="119"/>
      <c r="M17" s="123">
        <f t="shared" si="5"/>
        <v>70.89707991876111</v>
      </c>
      <c r="N17" s="55"/>
    </row>
    <row r="18" spans="1:14" ht="12" customHeight="1">
      <c r="A18" s="6" t="s">
        <v>101</v>
      </c>
      <c r="B18" s="21" t="s">
        <v>230</v>
      </c>
      <c r="C18" s="22"/>
      <c r="D18" s="22">
        <f>1</f>
        <v>1</v>
      </c>
      <c r="E18" s="23">
        <f t="shared" si="0"/>
        <v>1</v>
      </c>
      <c r="F18" s="5">
        <f t="shared" si="2"/>
        <v>0.0008130081300813008</v>
      </c>
      <c r="G18" s="6">
        <f>5+4+1+2+1+1+1+6+1</f>
        <v>22</v>
      </c>
      <c r="H18" s="5">
        <f t="shared" si="3"/>
        <v>0.025056947608200455</v>
      </c>
      <c r="I18" s="6">
        <f>136</f>
        <v>136</v>
      </c>
      <c r="J18" s="5">
        <f t="shared" si="4"/>
        <v>0.020715917745620715</v>
      </c>
      <c r="K18" s="15">
        <f t="shared" si="1"/>
        <v>0.015528624494634158</v>
      </c>
      <c r="L18" s="119"/>
      <c r="M18" s="123">
        <f t="shared" si="5"/>
        <v>1971.1725205712462</v>
      </c>
      <c r="N18" s="55"/>
    </row>
    <row r="19" spans="1:14" ht="12" customHeight="1">
      <c r="A19" s="6" t="s">
        <v>231</v>
      </c>
      <c r="B19" s="21" t="s">
        <v>232</v>
      </c>
      <c r="C19" s="22"/>
      <c r="D19" s="22"/>
      <c r="E19" s="23">
        <f t="shared" si="0"/>
        <v>0</v>
      </c>
      <c r="F19" s="5">
        <f t="shared" si="2"/>
        <v>0</v>
      </c>
      <c r="G19" s="30"/>
      <c r="H19" s="5">
        <f t="shared" si="3"/>
        <v>0</v>
      </c>
      <c r="I19" s="6">
        <f>4</f>
        <v>4</v>
      </c>
      <c r="J19" s="5">
        <f t="shared" si="4"/>
        <v>0.0006092916984006092</v>
      </c>
      <c r="K19" s="15">
        <f t="shared" si="1"/>
        <v>0.0002030972328002031</v>
      </c>
      <c r="L19" s="119"/>
      <c r="M19" s="123">
        <f t="shared" si="5"/>
        <v>25.780756334094946</v>
      </c>
      <c r="N19" s="55"/>
    </row>
    <row r="20" spans="1:14" ht="12" customHeight="1">
      <c r="A20" s="6" t="s">
        <v>233</v>
      </c>
      <c r="B20" s="21" t="s">
        <v>234</v>
      </c>
      <c r="C20" s="22"/>
      <c r="D20" s="22"/>
      <c r="E20" s="23">
        <f t="shared" si="0"/>
        <v>0</v>
      </c>
      <c r="F20" s="5">
        <f t="shared" si="2"/>
        <v>0</v>
      </c>
      <c r="H20" s="5">
        <f t="shared" si="3"/>
        <v>0</v>
      </c>
      <c r="I20" s="6">
        <f>16</f>
        <v>16</v>
      </c>
      <c r="J20" s="5">
        <f t="shared" si="4"/>
        <v>0.002437166793602437</v>
      </c>
      <c r="K20" s="15">
        <f t="shared" si="1"/>
        <v>0.0008123889312008124</v>
      </c>
      <c r="L20" s="119"/>
      <c r="M20" s="123">
        <f t="shared" si="5"/>
        <v>103.12302533637978</v>
      </c>
      <c r="N20" s="55"/>
    </row>
    <row r="21" spans="1:14" ht="12.75">
      <c r="A21" s="6" t="s">
        <v>235</v>
      </c>
      <c r="B21" s="21" t="s">
        <v>236</v>
      </c>
      <c r="C21" s="22"/>
      <c r="D21" s="22"/>
      <c r="E21" s="23">
        <f t="shared" si="0"/>
        <v>0</v>
      </c>
      <c r="F21" s="5">
        <f t="shared" si="2"/>
        <v>0</v>
      </c>
      <c r="G21" s="6">
        <f>1</f>
        <v>1</v>
      </c>
      <c r="H21" s="5">
        <f t="shared" si="3"/>
        <v>0.0011389521640091116</v>
      </c>
      <c r="I21" s="6">
        <f>4</f>
        <v>4</v>
      </c>
      <c r="J21" s="5">
        <f t="shared" si="4"/>
        <v>0.0006092916984006092</v>
      </c>
      <c r="K21" s="15">
        <f t="shared" si="1"/>
        <v>0.0005827479541365737</v>
      </c>
      <c r="L21" s="119"/>
      <c r="M21" s="123">
        <f t="shared" si="5"/>
        <v>73.97285921944044</v>
      </c>
      <c r="N21" s="55"/>
    </row>
    <row r="22" spans="1:14" ht="12.75">
      <c r="A22" s="6" t="s">
        <v>237</v>
      </c>
      <c r="B22" s="21" t="s">
        <v>238</v>
      </c>
      <c r="C22" s="22">
        <f>433</f>
        <v>433</v>
      </c>
      <c r="D22" s="22">
        <f>9</f>
        <v>9</v>
      </c>
      <c r="E22" s="23">
        <f t="shared" si="0"/>
        <v>442</v>
      </c>
      <c r="F22" s="5">
        <f t="shared" si="2"/>
        <v>0.359349593495935</v>
      </c>
      <c r="G22" s="6">
        <f>8+32+25+19+1+2</f>
        <v>87</v>
      </c>
      <c r="H22" s="5">
        <f t="shared" si="3"/>
        <v>0.09908883826879271</v>
      </c>
      <c r="I22" s="6">
        <f>1504</f>
        <v>1504</v>
      </c>
      <c r="J22" s="5">
        <f t="shared" si="4"/>
        <v>0.22909367859862909</v>
      </c>
      <c r="K22" s="15">
        <f t="shared" si="1"/>
        <v>0.22917737012111894</v>
      </c>
      <c r="L22" s="119"/>
      <c r="M22" s="123">
        <f t="shared" si="5"/>
        <v>29091.316779257224</v>
      </c>
      <c r="N22" s="55"/>
    </row>
    <row r="23" spans="1:14" ht="12.75">
      <c r="A23" s="6" t="s">
        <v>239</v>
      </c>
      <c r="B23" s="21" t="s">
        <v>240</v>
      </c>
      <c r="C23" s="22"/>
      <c r="D23" s="22"/>
      <c r="E23" s="23">
        <f t="shared" si="0"/>
        <v>0</v>
      </c>
      <c r="F23" s="5">
        <f t="shared" si="2"/>
        <v>0</v>
      </c>
      <c r="H23" s="5">
        <f t="shared" si="3"/>
        <v>0</v>
      </c>
      <c r="I23" s="6">
        <f>94</f>
        <v>94</v>
      </c>
      <c r="J23" s="5">
        <f t="shared" si="4"/>
        <v>0.014318354912414318</v>
      </c>
      <c r="K23" s="15">
        <f t="shared" si="1"/>
        <v>0.004772784970804773</v>
      </c>
      <c r="L23" s="119"/>
      <c r="M23" s="123">
        <f t="shared" si="5"/>
        <v>605.8477738512313</v>
      </c>
      <c r="N23" s="55"/>
    </row>
    <row r="24" spans="1:14" ht="12.75">
      <c r="A24" s="6" t="s">
        <v>241</v>
      </c>
      <c r="B24" s="21" t="s">
        <v>242</v>
      </c>
      <c r="C24" s="22">
        <f>1</f>
        <v>1</v>
      </c>
      <c r="D24" s="22"/>
      <c r="E24" s="23">
        <f t="shared" si="0"/>
        <v>1</v>
      </c>
      <c r="F24" s="5">
        <f t="shared" si="2"/>
        <v>0.0008130081300813008</v>
      </c>
      <c r="G24" s="6">
        <f>28</f>
        <v>28</v>
      </c>
      <c r="H24" s="5">
        <f t="shared" si="3"/>
        <v>0.03189066059225513</v>
      </c>
      <c r="I24" s="6">
        <f>242</f>
        <v>242</v>
      </c>
      <c r="J24" s="5">
        <f t="shared" si="4"/>
        <v>0.03686214775323686</v>
      </c>
      <c r="K24" s="15">
        <f t="shared" si="1"/>
        <v>0.023188605491857764</v>
      </c>
      <c r="L24" s="119"/>
      <c r="M24" s="123">
        <f t="shared" si="5"/>
        <v>2943.515180736835</v>
      </c>
      <c r="N24" s="55"/>
    </row>
    <row r="25" spans="1:14" ht="12.75">
      <c r="A25" s="6" t="s">
        <v>243</v>
      </c>
      <c r="B25" s="21" t="s">
        <v>244</v>
      </c>
      <c r="C25" s="22"/>
      <c r="D25" s="22"/>
      <c r="E25" s="23">
        <f t="shared" si="0"/>
        <v>0</v>
      </c>
      <c r="F25" s="5">
        <f t="shared" si="2"/>
        <v>0</v>
      </c>
      <c r="H25" s="5">
        <f t="shared" si="3"/>
        <v>0</v>
      </c>
      <c r="I25" s="6">
        <f>14</f>
        <v>14</v>
      </c>
      <c r="J25" s="5">
        <f t="shared" si="4"/>
        <v>0.0021325209444021326</v>
      </c>
      <c r="K25" s="15">
        <f t="shared" si="1"/>
        <v>0.0007108403148007109</v>
      </c>
      <c r="L25" s="119"/>
      <c r="M25" s="123">
        <f t="shared" si="5"/>
        <v>90.23264716933232</v>
      </c>
      <c r="N25" s="55"/>
    </row>
    <row r="26" spans="1:14" ht="12" customHeight="1">
      <c r="A26" s="6" t="s">
        <v>245</v>
      </c>
      <c r="B26" s="21" t="s">
        <v>246</v>
      </c>
      <c r="C26" s="22"/>
      <c r="D26" s="22"/>
      <c r="E26" s="23">
        <f t="shared" si="0"/>
        <v>0</v>
      </c>
      <c r="F26" s="5">
        <f t="shared" si="2"/>
        <v>0</v>
      </c>
      <c r="H26" s="5">
        <f t="shared" si="3"/>
        <v>0</v>
      </c>
      <c r="I26" s="6">
        <f>52</f>
        <v>52</v>
      </c>
      <c r="J26" s="5">
        <f t="shared" si="4"/>
        <v>0.007920792079207921</v>
      </c>
      <c r="K26" s="15">
        <f t="shared" si="1"/>
        <v>0.0026402640264026403</v>
      </c>
      <c r="L26" s="119"/>
      <c r="M26" s="123">
        <f t="shared" si="5"/>
        <v>335.1498323432343</v>
      </c>
      <c r="N26" s="55"/>
    </row>
    <row r="27" spans="1:14" ht="12.75">
      <c r="A27" s="6" t="s">
        <v>247</v>
      </c>
      <c r="B27" s="21" t="s">
        <v>248</v>
      </c>
      <c r="C27" s="22"/>
      <c r="D27" s="22"/>
      <c r="E27" s="23">
        <f t="shared" si="0"/>
        <v>0</v>
      </c>
      <c r="F27" s="5">
        <f t="shared" si="2"/>
        <v>0</v>
      </c>
      <c r="G27" s="6">
        <f>2</f>
        <v>2</v>
      </c>
      <c r="H27" s="5">
        <f t="shared" si="3"/>
        <v>0.002277904328018223</v>
      </c>
      <c r="I27" s="6">
        <f>50</f>
        <v>50</v>
      </c>
      <c r="J27" s="5">
        <f t="shared" si="4"/>
        <v>0.007616146230007616</v>
      </c>
      <c r="K27" s="15">
        <f t="shared" si="1"/>
        <v>0.0032980168526752797</v>
      </c>
      <c r="L27" s="119"/>
      <c r="M27" s="123">
        <f t="shared" si="5"/>
        <v>418.6436599468778</v>
      </c>
      <c r="N27" s="55"/>
    </row>
    <row r="28" spans="1:14" ht="12.75">
      <c r="A28" s="6" t="s">
        <v>249</v>
      </c>
      <c r="B28" s="21" t="s">
        <v>250</v>
      </c>
      <c r="C28" s="22"/>
      <c r="D28" s="22"/>
      <c r="E28" s="23">
        <f t="shared" si="0"/>
        <v>0</v>
      </c>
      <c r="F28" s="5">
        <f t="shared" si="2"/>
        <v>0</v>
      </c>
      <c r="H28" s="5">
        <f t="shared" si="3"/>
        <v>0</v>
      </c>
      <c r="I28" s="6">
        <f>34</f>
        <v>34</v>
      </c>
      <c r="J28" s="5">
        <f t="shared" si="4"/>
        <v>0.005178979436405179</v>
      </c>
      <c r="K28" s="15">
        <f t="shared" si="1"/>
        <v>0.0017263264788017262</v>
      </c>
      <c r="L28" s="119"/>
      <c r="M28" s="123">
        <f t="shared" si="5"/>
        <v>219.13642883980702</v>
      </c>
      <c r="N28" s="55"/>
    </row>
    <row r="29" spans="1:14" ht="12.75">
      <c r="A29" s="9" t="s">
        <v>251</v>
      </c>
      <c r="B29" s="10" t="s">
        <v>252</v>
      </c>
      <c r="E29" s="23">
        <f t="shared" si="0"/>
        <v>0</v>
      </c>
      <c r="F29" s="5">
        <f t="shared" si="2"/>
        <v>0</v>
      </c>
      <c r="G29" s="6">
        <f>15</f>
        <v>15</v>
      </c>
      <c r="H29" s="5">
        <f t="shared" si="3"/>
        <v>0.017084282460136675</v>
      </c>
      <c r="I29" s="6">
        <f>31</f>
        <v>31</v>
      </c>
      <c r="J29" s="5">
        <f t="shared" si="4"/>
        <v>0.004722010662604722</v>
      </c>
      <c r="K29" s="15">
        <f t="shared" si="1"/>
        <v>0.007268764374247133</v>
      </c>
      <c r="L29" s="119"/>
      <c r="M29" s="123">
        <f t="shared" si="5"/>
        <v>922.6824048694182</v>
      </c>
      <c r="N29" s="55"/>
    </row>
    <row r="30" spans="1:14" ht="12.75">
      <c r="A30" s="9" t="s">
        <v>253</v>
      </c>
      <c r="B30" s="10" t="s">
        <v>254</v>
      </c>
      <c r="C30" s="11">
        <f>59</f>
        <v>59</v>
      </c>
      <c r="D30" s="11">
        <f>36</f>
        <v>36</v>
      </c>
      <c r="E30" s="23">
        <f t="shared" si="0"/>
        <v>95</v>
      </c>
      <c r="F30" s="5">
        <f t="shared" si="2"/>
        <v>0.07723577235772358</v>
      </c>
      <c r="G30" s="6">
        <f>1+11+17+9+4+6+5+6</f>
        <v>59</v>
      </c>
      <c r="H30" s="5">
        <f t="shared" si="3"/>
        <v>0.06719817767653759</v>
      </c>
      <c r="I30" s="6">
        <f>325</f>
        <v>325</v>
      </c>
      <c r="J30" s="5">
        <f t="shared" si="4"/>
        <v>0.04950495049504951</v>
      </c>
      <c r="K30" s="15">
        <f t="shared" si="1"/>
        <v>0.0646463001764369</v>
      </c>
      <c r="L30" s="119"/>
      <c r="M30" s="123">
        <f t="shared" si="5"/>
        <v>8206.071987150246</v>
      </c>
      <c r="N30" s="55"/>
    </row>
    <row r="31" spans="1:14" ht="12.75">
      <c r="A31" s="9" t="s">
        <v>255</v>
      </c>
      <c r="B31" s="10" t="s">
        <v>256</v>
      </c>
      <c r="E31" s="23">
        <f t="shared" si="0"/>
        <v>0</v>
      </c>
      <c r="F31" s="5">
        <f t="shared" si="2"/>
        <v>0</v>
      </c>
      <c r="H31" s="5">
        <f t="shared" si="3"/>
        <v>0</v>
      </c>
      <c r="I31" s="6">
        <f>5</f>
        <v>5</v>
      </c>
      <c r="J31" s="5">
        <f t="shared" si="4"/>
        <v>0.0007616146230007616</v>
      </c>
      <c r="K31" s="15">
        <f t="shared" si="1"/>
        <v>0.0002538715410002539</v>
      </c>
      <c r="L31" s="119"/>
      <c r="M31" s="123">
        <f t="shared" si="5"/>
        <v>32.22594541761869</v>
      </c>
      <c r="N31" s="55"/>
    </row>
    <row r="32" spans="1:14" ht="12.75">
      <c r="A32" s="9" t="s">
        <v>257</v>
      </c>
      <c r="B32" s="10" t="s">
        <v>258</v>
      </c>
      <c r="E32" s="23">
        <f t="shared" si="0"/>
        <v>0</v>
      </c>
      <c r="F32" s="5">
        <f t="shared" si="2"/>
        <v>0</v>
      </c>
      <c r="G32" s="6">
        <f>6</f>
        <v>6</v>
      </c>
      <c r="H32" s="5">
        <f t="shared" si="3"/>
        <v>0.00683371298405467</v>
      </c>
      <c r="I32" s="6">
        <f>65</f>
        <v>65</v>
      </c>
      <c r="J32" s="5">
        <f t="shared" si="4"/>
        <v>0.009900990099009901</v>
      </c>
      <c r="K32" s="15">
        <f t="shared" si="1"/>
        <v>0.005578234361021524</v>
      </c>
      <c r="L32" s="119"/>
      <c r="M32" s="123">
        <f t="shared" si="5"/>
        <v>708.0899077411158</v>
      </c>
      <c r="N32" s="55"/>
    </row>
    <row r="33" spans="1:14" ht="12.75">
      <c r="A33" s="9" t="s">
        <v>259</v>
      </c>
      <c r="B33" s="10" t="s">
        <v>260</v>
      </c>
      <c r="C33" s="11">
        <f>139</f>
        <v>139</v>
      </c>
      <c r="D33" s="11">
        <f>91</f>
        <v>91</v>
      </c>
      <c r="E33" s="23">
        <f t="shared" si="0"/>
        <v>230</v>
      </c>
      <c r="F33" s="5">
        <f t="shared" si="2"/>
        <v>0.18699186991869918</v>
      </c>
      <c r="G33" s="6">
        <f>17+1+29+16+2</f>
        <v>65</v>
      </c>
      <c r="H33" s="5">
        <f t="shared" si="3"/>
        <v>0.07403189066059225</v>
      </c>
      <c r="I33" s="6">
        <f>598</f>
        <v>598</v>
      </c>
      <c r="J33" s="5">
        <f t="shared" si="4"/>
        <v>0.09108910891089109</v>
      </c>
      <c r="K33" s="15">
        <f t="shared" si="1"/>
        <v>0.1173709564967275</v>
      </c>
      <c r="L33" s="119"/>
      <c r="M33" s="123">
        <f t="shared" si="5"/>
        <v>14898.834358410639</v>
      </c>
      <c r="N33" s="55"/>
    </row>
    <row r="34" spans="1:14" ht="12.75">
      <c r="A34" s="9" t="s">
        <v>261</v>
      </c>
      <c r="B34" s="10" t="s">
        <v>262</v>
      </c>
      <c r="C34" s="11">
        <f>2</f>
        <v>2</v>
      </c>
      <c r="E34" s="23">
        <f t="shared" si="0"/>
        <v>2</v>
      </c>
      <c r="F34" s="5">
        <f t="shared" si="2"/>
        <v>0.0016260162601626016</v>
      </c>
      <c r="G34" s="6">
        <f>65</f>
        <v>65</v>
      </c>
      <c r="H34" s="5">
        <f t="shared" si="3"/>
        <v>0.07403189066059225</v>
      </c>
      <c r="I34" s="6">
        <f>311</f>
        <v>311</v>
      </c>
      <c r="J34" s="5">
        <f t="shared" si="4"/>
        <v>0.047372429550647376</v>
      </c>
      <c r="K34" s="15">
        <f t="shared" si="1"/>
        <v>0.04101011215713408</v>
      </c>
      <c r="L34" s="119"/>
      <c r="M34" s="123">
        <f t="shared" si="5"/>
        <v>5205.741575992173</v>
      </c>
      <c r="N34" s="55"/>
    </row>
    <row r="35" spans="1:14" ht="12.75">
      <c r="A35" s="9" t="s">
        <v>263</v>
      </c>
      <c r="B35" s="10" t="s">
        <v>264</v>
      </c>
      <c r="E35" s="23">
        <f t="shared" si="0"/>
        <v>0</v>
      </c>
      <c r="F35" s="5">
        <f t="shared" si="2"/>
        <v>0</v>
      </c>
      <c r="H35" s="5">
        <f t="shared" si="3"/>
        <v>0</v>
      </c>
      <c r="I35" s="6">
        <f>90</f>
        <v>90</v>
      </c>
      <c r="J35" s="5">
        <f t="shared" si="4"/>
        <v>0.013709063214013708</v>
      </c>
      <c r="K35" s="15">
        <f t="shared" si="1"/>
        <v>0.004569687738004569</v>
      </c>
      <c r="L35" s="119"/>
      <c r="M35" s="123">
        <f t="shared" si="5"/>
        <v>580.0670175171363</v>
      </c>
      <c r="N35" s="55"/>
    </row>
    <row r="36" spans="1:14" ht="12.75">
      <c r="A36" s="9" t="s">
        <v>265</v>
      </c>
      <c r="B36" s="10" t="s">
        <v>266</v>
      </c>
      <c r="E36" s="23">
        <f t="shared" si="0"/>
        <v>0</v>
      </c>
      <c r="F36" s="5">
        <f t="shared" si="2"/>
        <v>0</v>
      </c>
      <c r="G36" s="6">
        <f>9</f>
        <v>9</v>
      </c>
      <c r="H36" s="5">
        <f t="shared" si="3"/>
        <v>0.010250569476082005</v>
      </c>
      <c r="I36" s="6">
        <f>107</f>
        <v>107</v>
      </c>
      <c r="J36" s="5">
        <f t="shared" si="4"/>
        <v>0.016298552932216298</v>
      </c>
      <c r="K36" s="15">
        <f t="shared" si="1"/>
        <v>0.008849707469432767</v>
      </c>
      <c r="L36" s="119"/>
      <c r="M36" s="123">
        <f t="shared" si="5"/>
        <v>1123.364157905149</v>
      </c>
      <c r="N36" s="55"/>
    </row>
    <row r="37" spans="1:14" ht="12.75">
      <c r="A37" s="9" t="s">
        <v>267</v>
      </c>
      <c r="B37" s="10" t="s">
        <v>268</v>
      </c>
      <c r="E37" s="23">
        <f t="shared" si="0"/>
        <v>0</v>
      </c>
      <c r="F37" s="5">
        <f t="shared" si="2"/>
        <v>0</v>
      </c>
      <c r="H37" s="5">
        <f t="shared" si="3"/>
        <v>0</v>
      </c>
      <c r="I37" s="6">
        <f>47</f>
        <v>47</v>
      </c>
      <c r="J37" s="5">
        <f t="shared" si="4"/>
        <v>0.007159177456207159</v>
      </c>
      <c r="K37" s="15">
        <f t="shared" si="1"/>
        <v>0.0023863924854023865</v>
      </c>
      <c r="L37" s="119"/>
      <c r="M37" s="123">
        <f t="shared" si="5"/>
        <v>302.92388692561565</v>
      </c>
      <c r="N37" s="55"/>
    </row>
    <row r="38" spans="1:14" ht="12.75">
      <c r="A38" s="9" t="s">
        <v>269</v>
      </c>
      <c r="B38" s="10" t="s">
        <v>270</v>
      </c>
      <c r="E38" s="23">
        <f t="shared" si="0"/>
        <v>0</v>
      </c>
      <c r="F38" s="5">
        <f t="shared" si="2"/>
        <v>0</v>
      </c>
      <c r="H38" s="5">
        <f t="shared" si="3"/>
        <v>0</v>
      </c>
      <c r="I38" s="6">
        <f>7</f>
        <v>7</v>
      </c>
      <c r="J38" s="5">
        <f t="shared" si="4"/>
        <v>0.0010662604722010663</v>
      </c>
      <c r="K38" s="15">
        <f t="shared" si="1"/>
        <v>0.00035542015740035545</v>
      </c>
      <c r="L38" s="119"/>
      <c r="M38" s="123">
        <f t="shared" si="5"/>
        <v>45.11632358466616</v>
      </c>
      <c r="N38" s="55"/>
    </row>
    <row r="39" spans="1:14" ht="12.75">
      <c r="A39" s="9" t="s">
        <v>271</v>
      </c>
      <c r="B39" s="10" t="s">
        <v>272</v>
      </c>
      <c r="E39" s="23">
        <f t="shared" si="0"/>
        <v>0</v>
      </c>
      <c r="F39" s="5">
        <f t="shared" si="2"/>
        <v>0</v>
      </c>
      <c r="H39" s="5">
        <f t="shared" si="3"/>
        <v>0</v>
      </c>
      <c r="I39" s="6">
        <f>8</f>
        <v>8</v>
      </c>
      <c r="J39" s="5">
        <f t="shared" si="4"/>
        <v>0.0012185833968012185</v>
      </c>
      <c r="K39" s="15">
        <f t="shared" si="1"/>
        <v>0.0004061944656004062</v>
      </c>
      <c r="L39" s="119"/>
      <c r="M39" s="123">
        <f t="shared" si="5"/>
        <v>51.56151266818989</v>
      </c>
      <c r="N39" s="55"/>
    </row>
    <row r="40" spans="1:14" ht="12.75">
      <c r="A40" s="9" t="s">
        <v>273</v>
      </c>
      <c r="B40" s="10" t="s">
        <v>274</v>
      </c>
      <c r="E40" s="23">
        <f t="shared" si="0"/>
        <v>0</v>
      </c>
      <c r="F40" s="5">
        <f t="shared" si="2"/>
        <v>0</v>
      </c>
      <c r="H40" s="5">
        <f t="shared" si="3"/>
        <v>0</v>
      </c>
      <c r="I40" s="6">
        <f>22</f>
        <v>22</v>
      </c>
      <c r="J40" s="5">
        <f t="shared" si="4"/>
        <v>0.0033511043412033513</v>
      </c>
      <c r="K40" s="15">
        <f t="shared" si="1"/>
        <v>0.001117034780401117</v>
      </c>
      <c r="L40" s="119"/>
      <c r="M40" s="123">
        <f t="shared" si="5"/>
        <v>141.79415983752222</v>
      </c>
      <c r="N40" s="55"/>
    </row>
    <row r="41" spans="1:14" ht="12.75">
      <c r="A41" s="9" t="s">
        <v>275</v>
      </c>
      <c r="B41" s="10" t="s">
        <v>276</v>
      </c>
      <c r="C41" s="11">
        <f>14</f>
        <v>14</v>
      </c>
      <c r="E41" s="23">
        <f t="shared" si="0"/>
        <v>14</v>
      </c>
      <c r="F41" s="5">
        <f t="shared" si="2"/>
        <v>0.011382113821138212</v>
      </c>
      <c r="G41" s="6">
        <f>53</f>
        <v>53</v>
      </c>
      <c r="H41" s="5">
        <f t="shared" si="3"/>
        <v>0.06036446469248292</v>
      </c>
      <c r="I41" s="6">
        <f>188</f>
        <v>188</v>
      </c>
      <c r="J41" s="5">
        <f t="shared" si="4"/>
        <v>0.028636709824828636</v>
      </c>
      <c r="K41" s="15">
        <f t="shared" si="1"/>
        <v>0.033461096112816585</v>
      </c>
      <c r="L41" s="119"/>
      <c r="M41" s="123">
        <f t="shared" si="5"/>
        <v>4247.4845849076155</v>
      </c>
      <c r="N41" s="55"/>
    </row>
    <row r="42" spans="1:14" ht="12.75">
      <c r="A42" s="9" t="s">
        <v>277</v>
      </c>
      <c r="B42" s="10" t="s">
        <v>278</v>
      </c>
      <c r="E42" s="23">
        <f t="shared" si="0"/>
        <v>0</v>
      </c>
      <c r="F42" s="5">
        <f t="shared" si="2"/>
        <v>0</v>
      </c>
      <c r="H42" s="5">
        <f t="shared" si="3"/>
        <v>0</v>
      </c>
      <c r="I42" s="6">
        <f>36</f>
        <v>36</v>
      </c>
      <c r="J42" s="5">
        <f t="shared" si="4"/>
        <v>0.0054836252856054835</v>
      </c>
      <c r="K42" s="15">
        <f t="shared" si="1"/>
        <v>0.0018278750952018278</v>
      </c>
      <c r="L42" s="119"/>
      <c r="M42" s="123">
        <f t="shared" si="5"/>
        <v>232.0268070068545</v>
      </c>
      <c r="N42" s="55"/>
    </row>
    <row r="43" spans="1:14" ht="12.75">
      <c r="A43" s="9" t="s">
        <v>279</v>
      </c>
      <c r="B43" s="10" t="s">
        <v>280</v>
      </c>
      <c r="E43" s="23">
        <f t="shared" si="0"/>
        <v>0</v>
      </c>
      <c r="F43" s="5">
        <f t="shared" si="2"/>
        <v>0</v>
      </c>
      <c r="G43" s="6">
        <f>3</f>
        <v>3</v>
      </c>
      <c r="H43" s="5">
        <f t="shared" si="3"/>
        <v>0.003416856492027335</v>
      </c>
      <c r="I43" s="6">
        <f>12+32</f>
        <v>44</v>
      </c>
      <c r="J43" s="5">
        <f t="shared" si="4"/>
        <v>0.006702208682406703</v>
      </c>
      <c r="K43" s="15">
        <f t="shared" si="1"/>
        <v>0.0033730217248113454</v>
      </c>
      <c r="L43" s="119"/>
      <c r="M43" s="123">
        <f t="shared" si="5"/>
        <v>428.16462833108085</v>
      </c>
      <c r="N43" s="55"/>
    </row>
    <row r="44" spans="1:14" ht="12.75">
      <c r="A44" s="9" t="s">
        <v>281</v>
      </c>
      <c r="B44" s="10" t="s">
        <v>282</v>
      </c>
      <c r="E44" s="23">
        <f t="shared" si="0"/>
        <v>0</v>
      </c>
      <c r="F44" s="5">
        <f t="shared" si="2"/>
        <v>0</v>
      </c>
      <c r="G44" s="6">
        <f>1</f>
        <v>1</v>
      </c>
      <c r="H44" s="5">
        <f t="shared" si="3"/>
        <v>0.0011389521640091116</v>
      </c>
      <c r="I44" s="6">
        <f>9</f>
        <v>9</v>
      </c>
      <c r="J44" s="5">
        <f t="shared" si="4"/>
        <v>0.0013709063214013709</v>
      </c>
      <c r="K44" s="15">
        <f t="shared" si="1"/>
        <v>0.0008366194951368275</v>
      </c>
      <c r="L44" s="119"/>
      <c r="M44" s="123">
        <f t="shared" si="5"/>
        <v>106.19880463705911</v>
      </c>
      <c r="N44" s="55"/>
    </row>
    <row r="45" spans="1:14" ht="12.75">
      <c r="A45" s="9" t="s">
        <v>283</v>
      </c>
      <c r="B45" s="10" t="s">
        <v>284</v>
      </c>
      <c r="E45" s="23">
        <f t="shared" si="0"/>
        <v>0</v>
      </c>
      <c r="F45" s="5">
        <f t="shared" si="2"/>
        <v>0</v>
      </c>
      <c r="G45" s="6">
        <f>6</f>
        <v>6</v>
      </c>
      <c r="H45" s="5">
        <f t="shared" si="3"/>
        <v>0.00683371298405467</v>
      </c>
      <c r="I45" s="6">
        <f>48</f>
        <v>48</v>
      </c>
      <c r="J45" s="5">
        <f t="shared" si="4"/>
        <v>0.007311500380807311</v>
      </c>
      <c r="K45" s="15">
        <f t="shared" si="1"/>
        <v>0.00471507112162066</v>
      </c>
      <c r="L45" s="119"/>
      <c r="M45" s="123">
        <f t="shared" si="5"/>
        <v>598.5216933212122</v>
      </c>
      <c r="N45" s="55"/>
    </row>
    <row r="46" spans="1:14" ht="12.75">
      <c r="A46" s="9" t="s">
        <v>285</v>
      </c>
      <c r="B46" s="10" t="s">
        <v>286</v>
      </c>
      <c r="E46" s="23">
        <f t="shared" si="0"/>
        <v>0</v>
      </c>
      <c r="F46" s="5">
        <f t="shared" si="2"/>
        <v>0</v>
      </c>
      <c r="H46" s="5">
        <f t="shared" si="3"/>
        <v>0</v>
      </c>
      <c r="I46" s="6">
        <f>3</f>
        <v>3</v>
      </c>
      <c r="J46" s="5">
        <f t="shared" si="4"/>
        <v>0.00045696877380045696</v>
      </c>
      <c r="K46" s="15">
        <f t="shared" si="1"/>
        <v>0.0001523229246001523</v>
      </c>
      <c r="L46" s="119"/>
      <c r="M46" s="123">
        <f t="shared" si="5"/>
        <v>19.33556725057121</v>
      </c>
      <c r="N46" s="55"/>
    </row>
    <row r="47" spans="1:14" ht="12.75">
      <c r="A47" s="9" t="s">
        <v>287</v>
      </c>
      <c r="B47" s="10" t="s">
        <v>288</v>
      </c>
      <c r="C47" s="11">
        <f>3</f>
        <v>3</v>
      </c>
      <c r="E47" s="23">
        <f t="shared" si="0"/>
        <v>3</v>
      </c>
      <c r="F47" s="5">
        <f t="shared" si="2"/>
        <v>0.0024390243902439024</v>
      </c>
      <c r="G47" s="6">
        <f>19</f>
        <v>19</v>
      </c>
      <c r="H47" s="5">
        <f t="shared" si="3"/>
        <v>0.02164009111617312</v>
      </c>
      <c r="I47" s="6">
        <f>73</f>
        <v>73</v>
      </c>
      <c r="J47" s="5">
        <f t="shared" si="4"/>
        <v>0.01111957349581112</v>
      </c>
      <c r="K47" s="15">
        <f t="shared" si="1"/>
        <v>0.011732896334076046</v>
      </c>
      <c r="L47" s="119"/>
      <c r="M47" s="123">
        <f t="shared" si="5"/>
        <v>1489.3503831220487</v>
      </c>
      <c r="N47" s="55"/>
    </row>
    <row r="48" spans="1:14" ht="12.75">
      <c r="A48" s="9" t="s">
        <v>289</v>
      </c>
      <c r="B48" s="10" t="s">
        <v>290</v>
      </c>
      <c r="E48" s="23">
        <f t="shared" si="0"/>
        <v>0</v>
      </c>
      <c r="F48" s="5">
        <f t="shared" si="2"/>
        <v>0</v>
      </c>
      <c r="G48" s="6">
        <f>35</f>
        <v>35</v>
      </c>
      <c r="H48" s="5">
        <f t="shared" si="3"/>
        <v>0.03986332574031891</v>
      </c>
      <c r="I48" s="6">
        <f>58</f>
        <v>58</v>
      </c>
      <c r="J48" s="5">
        <f t="shared" si="4"/>
        <v>0.008834729626808835</v>
      </c>
      <c r="K48" s="15">
        <f t="shared" si="1"/>
        <v>0.016232685122375915</v>
      </c>
      <c r="L48" s="119"/>
      <c r="M48" s="123">
        <f t="shared" si="5"/>
        <v>2060.5445678314686</v>
      </c>
      <c r="N48" s="55"/>
    </row>
    <row r="49" spans="1:14" ht="12.75">
      <c r="A49" s="9" t="s">
        <v>291</v>
      </c>
      <c r="B49" s="10" t="s">
        <v>292</v>
      </c>
      <c r="C49" s="11">
        <f>11</f>
        <v>11</v>
      </c>
      <c r="D49" s="11">
        <f>5</f>
        <v>5</v>
      </c>
      <c r="E49" s="23">
        <f t="shared" si="0"/>
        <v>16</v>
      </c>
      <c r="F49" s="5">
        <f t="shared" si="2"/>
        <v>0.013008130081300813</v>
      </c>
      <c r="G49" s="6">
        <f>2+6+14+1+4+1+13+6</f>
        <v>47</v>
      </c>
      <c r="H49" s="5">
        <f t="shared" si="3"/>
        <v>0.05353075170842825</v>
      </c>
      <c r="I49" s="6">
        <f>239</f>
        <v>239</v>
      </c>
      <c r="J49" s="5">
        <f t="shared" si="4"/>
        <v>0.0364051789794364</v>
      </c>
      <c r="K49" s="15">
        <f t="shared" si="1"/>
        <v>0.03431468692305515</v>
      </c>
      <c r="L49" s="119"/>
      <c r="M49" s="123">
        <f t="shared" si="5"/>
        <v>4355.837694324087</v>
      </c>
      <c r="N49" s="55"/>
    </row>
    <row r="50" spans="1:14" ht="12.75">
      <c r="A50" s="9" t="s">
        <v>293</v>
      </c>
      <c r="B50" s="10" t="s">
        <v>294</v>
      </c>
      <c r="C50" s="11">
        <f>7</f>
        <v>7</v>
      </c>
      <c r="D50" s="11">
        <f>7</f>
        <v>7</v>
      </c>
      <c r="E50" s="23">
        <f t="shared" si="0"/>
        <v>14</v>
      </c>
      <c r="F50" s="5">
        <f t="shared" si="2"/>
        <v>0.011382113821138212</v>
      </c>
      <c r="G50" s="6">
        <f>8</f>
        <v>8</v>
      </c>
      <c r="H50" s="5">
        <f t="shared" si="3"/>
        <v>0.009111617312072893</v>
      </c>
      <c r="I50" s="6">
        <f>137</f>
        <v>137</v>
      </c>
      <c r="J50" s="5">
        <f t="shared" si="4"/>
        <v>0.020868240670220868</v>
      </c>
      <c r="K50" s="15">
        <f t="shared" si="1"/>
        <v>0.013787323934477324</v>
      </c>
      <c r="L50" s="119"/>
      <c r="M50" s="123">
        <f t="shared" si="5"/>
        <v>1750.1353118073587</v>
      </c>
      <c r="N50" s="55"/>
    </row>
    <row r="51" spans="1:14" ht="12.75">
      <c r="A51" s="9" t="s">
        <v>295</v>
      </c>
      <c r="B51" s="10" t="s">
        <v>296</v>
      </c>
      <c r="E51" s="23">
        <f t="shared" si="0"/>
        <v>0</v>
      </c>
      <c r="F51" s="5">
        <f t="shared" si="2"/>
        <v>0</v>
      </c>
      <c r="H51" s="5">
        <f t="shared" si="3"/>
        <v>0</v>
      </c>
      <c r="I51" s="6">
        <f>7</f>
        <v>7</v>
      </c>
      <c r="J51" s="5">
        <f t="shared" si="4"/>
        <v>0.0010662604722010663</v>
      </c>
      <c r="K51" s="15">
        <f t="shared" si="1"/>
        <v>0.00035542015740035545</v>
      </c>
      <c r="L51" s="119"/>
      <c r="M51" s="123">
        <f t="shared" si="5"/>
        <v>45.11632358466616</v>
      </c>
      <c r="N51" s="55"/>
    </row>
    <row r="52" spans="1:14" ht="12" customHeight="1" thickBot="1">
      <c r="A52" s="24" t="s">
        <v>297</v>
      </c>
      <c r="B52" s="28"/>
      <c r="C52" s="24">
        <f aca="true" t="shared" si="6" ref="C52:J52">SUM(C7:C51)</f>
        <v>1047</v>
      </c>
      <c r="D52" s="24">
        <f t="shared" si="6"/>
        <v>183</v>
      </c>
      <c r="E52" s="24">
        <f t="shared" si="6"/>
        <v>1230</v>
      </c>
      <c r="F52" s="25">
        <f t="shared" si="6"/>
        <v>1.0000000000000002</v>
      </c>
      <c r="G52" s="1">
        <f t="shared" si="6"/>
        <v>878</v>
      </c>
      <c r="H52" s="25">
        <f t="shared" si="6"/>
        <v>1.0000000000000002</v>
      </c>
      <c r="I52" s="1">
        <f t="shared" si="6"/>
        <v>6565</v>
      </c>
      <c r="J52" s="25">
        <f t="shared" si="6"/>
        <v>0.9999999999999999</v>
      </c>
      <c r="K52" s="15">
        <f t="shared" si="1"/>
        <v>1.0000000000000002</v>
      </c>
      <c r="L52" s="131"/>
      <c r="M52" s="133">
        <v>126937.999</v>
      </c>
      <c r="N52" s="75"/>
    </row>
    <row r="54" ht="12.75">
      <c r="M54" s="136">
        <f>SUM(M6:M51)</f>
        <v>126937.99899999998</v>
      </c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pane xSplit="1" ySplit="5" topLeftCell="L24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47.28125" style="9" bestFit="1" customWidth="1"/>
    <col min="2" max="2" width="8.140625" style="10" hidden="1" customWidth="1"/>
    <col min="3" max="4" width="4.00390625" style="11" hidden="1" customWidth="1"/>
    <col min="5" max="5" width="7.28125" style="4" hidden="1" customWidth="1"/>
    <col min="6" max="6" width="7.28125" style="5" hidden="1" customWidth="1"/>
    <col min="7" max="7" width="11.7109375" style="6" hidden="1" customWidth="1"/>
    <col min="8" max="8" width="7.00390625" style="5" hidden="1" customWidth="1"/>
    <col min="9" max="9" width="15.00390625" style="6" hidden="1" customWidth="1"/>
    <col min="10" max="10" width="7.00390625" style="5" hidden="1" customWidth="1"/>
    <col min="11" max="11" width="8.57421875" style="7" hidden="1" customWidth="1"/>
    <col min="12" max="12" width="6.7109375" style="9" customWidth="1"/>
    <col min="13" max="13" width="9.7109375" style="9" customWidth="1"/>
    <col min="14" max="14" width="6.7109375" style="9" customWidth="1"/>
    <col min="15" max="16384" width="6.8515625" style="9" customWidth="1"/>
  </cols>
  <sheetData>
    <row r="1" spans="1:4" ht="12.75" customHeight="1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2.75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130</v>
      </c>
      <c r="B6" s="2"/>
      <c r="C6" s="3"/>
      <c r="D6" s="3"/>
      <c r="L6" s="119"/>
      <c r="M6" s="120"/>
      <c r="N6" s="55"/>
    </row>
    <row r="7" spans="1:14" ht="12.75">
      <c r="A7" s="9" t="s">
        <v>131</v>
      </c>
      <c r="B7" s="10" t="s">
        <v>132</v>
      </c>
      <c r="D7" s="11">
        <f>2</f>
        <v>2</v>
      </c>
      <c r="E7" s="23">
        <f aca="true" t="shared" si="0" ref="E7:E44">C7+D7</f>
        <v>2</v>
      </c>
      <c r="F7" s="5">
        <f>+E7/E$45</f>
        <v>0.00128783000643915</v>
      </c>
      <c r="H7" s="5">
        <f>+G7/G$45</f>
        <v>0</v>
      </c>
      <c r="I7" s="6">
        <v>30</v>
      </c>
      <c r="J7" s="5">
        <f>+I7/I$45</f>
        <v>0.008099352051835854</v>
      </c>
      <c r="K7" s="15">
        <f aca="true" t="shared" si="1" ref="K7:K45">+(F7+H7+J7)/3</f>
        <v>0.0031290606860916678</v>
      </c>
      <c r="L7" s="119"/>
      <c r="M7" s="123">
        <f>K7*$M$45</f>
        <v>280.6681333061327</v>
      </c>
      <c r="N7" s="55"/>
    </row>
    <row r="8" spans="1:14" ht="12.75">
      <c r="A8" s="9" t="s">
        <v>133</v>
      </c>
      <c r="B8" s="10" t="s">
        <v>134</v>
      </c>
      <c r="E8" s="23">
        <f t="shared" si="0"/>
        <v>0</v>
      </c>
      <c r="F8" s="5">
        <f aca="true" t="shared" si="2" ref="F8:F44">+E8/$E$45</f>
        <v>0</v>
      </c>
      <c r="G8" s="6">
        <f>13</f>
        <v>13</v>
      </c>
      <c r="H8" s="5">
        <f aca="true" t="shared" si="3" ref="H8:H44">+G8/G$45</f>
        <v>0.025096525096525095</v>
      </c>
      <c r="J8" s="5">
        <f aca="true" t="shared" si="4" ref="J8:J44">+I8/I$45</f>
        <v>0</v>
      </c>
      <c r="K8" s="15">
        <f t="shared" si="1"/>
        <v>0.008365508365508366</v>
      </c>
      <c r="L8" s="119"/>
      <c r="M8" s="123">
        <f aca="true" t="shared" si="5" ref="M8:M44">K8*$M$45</f>
        <v>750.363081016731</v>
      </c>
      <c r="N8" s="55"/>
    </row>
    <row r="9" spans="1:14" ht="12.75">
      <c r="A9" s="9" t="s">
        <v>135</v>
      </c>
      <c r="B9" s="10" t="s">
        <v>136</v>
      </c>
      <c r="E9" s="23">
        <f t="shared" si="0"/>
        <v>0</v>
      </c>
      <c r="F9" s="5">
        <f t="shared" si="2"/>
        <v>0</v>
      </c>
      <c r="H9" s="5">
        <f t="shared" si="3"/>
        <v>0</v>
      </c>
      <c r="I9" s="6">
        <f>5</f>
        <v>5</v>
      </c>
      <c r="J9" s="5">
        <f t="shared" si="4"/>
        <v>0.0013498920086393088</v>
      </c>
      <c r="K9" s="15">
        <f t="shared" si="1"/>
        <v>0.0004499640028797696</v>
      </c>
      <c r="L9" s="119"/>
      <c r="M9" s="123">
        <f t="shared" si="5"/>
        <v>40.36053289236861</v>
      </c>
      <c r="N9" s="55"/>
    </row>
    <row r="10" spans="1:14" ht="12.75">
      <c r="A10" s="9" t="s">
        <v>137</v>
      </c>
      <c r="B10" s="10" t="s">
        <v>138</v>
      </c>
      <c r="C10" s="11">
        <f>8</f>
        <v>8</v>
      </c>
      <c r="D10" s="11">
        <f>7</f>
        <v>7</v>
      </c>
      <c r="E10" s="23">
        <f t="shared" si="0"/>
        <v>15</v>
      </c>
      <c r="F10" s="5">
        <f t="shared" si="2"/>
        <v>0.009658725048293626</v>
      </c>
      <c r="G10" s="6">
        <f>10+4+2+1+1</f>
        <v>18</v>
      </c>
      <c r="H10" s="5">
        <f t="shared" si="3"/>
        <v>0.03474903474903475</v>
      </c>
      <c r="I10" s="6">
        <f>105</f>
        <v>105</v>
      </c>
      <c r="J10" s="5">
        <f t="shared" si="4"/>
        <v>0.028347732181425486</v>
      </c>
      <c r="K10" s="15">
        <f t="shared" si="1"/>
        <v>0.02425183065958462</v>
      </c>
      <c r="L10" s="119"/>
      <c r="M10" s="123">
        <f t="shared" si="5"/>
        <v>2175.322476402315</v>
      </c>
      <c r="N10" s="55"/>
    </row>
    <row r="11" spans="1:14" ht="12.75">
      <c r="A11" s="9" t="s">
        <v>139</v>
      </c>
      <c r="B11" s="10" t="s">
        <v>140</v>
      </c>
      <c r="C11" s="11">
        <f>82</f>
        <v>82</v>
      </c>
      <c r="D11" s="11">
        <f>20</f>
        <v>20</v>
      </c>
      <c r="E11" s="23">
        <f t="shared" si="0"/>
        <v>102</v>
      </c>
      <c r="F11" s="5">
        <f t="shared" si="2"/>
        <v>0.06567933032839665</v>
      </c>
      <c r="H11" s="5">
        <f t="shared" si="3"/>
        <v>0</v>
      </c>
      <c r="I11" s="6">
        <f>16</f>
        <v>16</v>
      </c>
      <c r="J11" s="5">
        <f t="shared" si="4"/>
        <v>0.004319654427645789</v>
      </c>
      <c r="K11" s="15">
        <f t="shared" si="1"/>
        <v>0.02333299491868081</v>
      </c>
      <c r="L11" s="119"/>
      <c r="M11" s="123">
        <f t="shared" si="5"/>
        <v>2092.905438803551</v>
      </c>
      <c r="N11" s="55"/>
    </row>
    <row r="12" spans="1:14" ht="12.75">
      <c r="A12" s="9" t="s">
        <v>141</v>
      </c>
      <c r="B12" s="10" t="s">
        <v>142</v>
      </c>
      <c r="C12" s="11">
        <f>1</f>
        <v>1</v>
      </c>
      <c r="D12" s="11">
        <f>1</f>
        <v>1</v>
      </c>
      <c r="E12" s="23">
        <f t="shared" si="0"/>
        <v>2</v>
      </c>
      <c r="F12" s="5">
        <f t="shared" si="2"/>
        <v>0.00128783000643915</v>
      </c>
      <c r="H12" s="5">
        <f t="shared" si="3"/>
        <v>0</v>
      </c>
      <c r="I12" s="6">
        <f>115</f>
        <v>115</v>
      </c>
      <c r="J12" s="5">
        <f t="shared" si="4"/>
        <v>0.031047516198704102</v>
      </c>
      <c r="K12" s="15">
        <f t="shared" si="1"/>
        <v>0.01077844873504775</v>
      </c>
      <c r="L12" s="119"/>
      <c r="M12" s="123">
        <f t="shared" si="5"/>
        <v>966.797192476399</v>
      </c>
      <c r="N12" s="55"/>
    </row>
    <row r="13" spans="1:14" ht="12.75">
      <c r="A13" s="9" t="s">
        <v>143</v>
      </c>
      <c r="B13" s="10" t="s">
        <v>144</v>
      </c>
      <c r="C13" s="11">
        <f>101</f>
        <v>101</v>
      </c>
      <c r="D13" s="11">
        <f>9</f>
        <v>9</v>
      </c>
      <c r="E13" s="23">
        <f t="shared" si="0"/>
        <v>110</v>
      </c>
      <c r="F13" s="5">
        <f t="shared" si="2"/>
        <v>0.07083065035415326</v>
      </c>
      <c r="G13" s="6">
        <f>7</f>
        <v>7</v>
      </c>
      <c r="H13" s="5">
        <f t="shared" si="3"/>
        <v>0.013513513513513514</v>
      </c>
      <c r="I13" s="6">
        <f>87</f>
        <v>87</v>
      </c>
      <c r="J13" s="5">
        <f t="shared" si="4"/>
        <v>0.023488120950323974</v>
      </c>
      <c r="K13" s="15">
        <f t="shared" si="1"/>
        <v>0.03594409493933025</v>
      </c>
      <c r="L13" s="119"/>
      <c r="M13" s="123">
        <f t="shared" si="5"/>
        <v>3224.086408691879</v>
      </c>
      <c r="N13" s="55"/>
    </row>
    <row r="14" spans="1:14" ht="12.75">
      <c r="A14" s="9" t="s">
        <v>145</v>
      </c>
      <c r="B14" s="10" t="s">
        <v>146</v>
      </c>
      <c r="E14" s="23">
        <f t="shared" si="0"/>
        <v>0</v>
      </c>
      <c r="F14" s="5">
        <f t="shared" si="2"/>
        <v>0</v>
      </c>
      <c r="H14" s="5">
        <f t="shared" si="3"/>
        <v>0</v>
      </c>
      <c r="I14" s="6">
        <f>78</f>
        <v>78</v>
      </c>
      <c r="J14" s="5">
        <f t="shared" si="4"/>
        <v>0.021058315334773217</v>
      </c>
      <c r="K14" s="15">
        <f t="shared" si="1"/>
        <v>0.007019438444924406</v>
      </c>
      <c r="L14" s="119"/>
      <c r="M14" s="123">
        <f t="shared" si="5"/>
        <v>629.6243131209503</v>
      </c>
      <c r="N14" s="55"/>
    </row>
    <row r="15" spans="1:14" ht="12.75">
      <c r="A15" s="9" t="s">
        <v>147</v>
      </c>
      <c r="B15" s="10" t="s">
        <v>148</v>
      </c>
      <c r="E15" s="23">
        <f t="shared" si="0"/>
        <v>0</v>
      </c>
      <c r="F15" s="5">
        <f t="shared" si="2"/>
        <v>0</v>
      </c>
      <c r="G15" s="6">
        <v>9</v>
      </c>
      <c r="H15" s="5">
        <f t="shared" si="3"/>
        <v>0.017374517374517374</v>
      </c>
      <c r="I15" s="6">
        <f>29</f>
        <v>29</v>
      </c>
      <c r="J15" s="5">
        <f t="shared" si="4"/>
        <v>0.00782937365010799</v>
      </c>
      <c r="K15" s="15">
        <f t="shared" si="1"/>
        <v>0.008401297008208455</v>
      </c>
      <c r="L15" s="119"/>
      <c r="M15" s="123">
        <f t="shared" si="5"/>
        <v>753.573223787321</v>
      </c>
      <c r="N15" s="55"/>
    </row>
    <row r="16" spans="1:14" ht="12.75">
      <c r="A16" s="9" t="s">
        <v>149</v>
      </c>
      <c r="B16" s="10" t="s">
        <v>150</v>
      </c>
      <c r="C16" s="11">
        <f>2</f>
        <v>2</v>
      </c>
      <c r="D16" s="11">
        <f>2</f>
        <v>2</v>
      </c>
      <c r="E16" s="23">
        <f t="shared" si="0"/>
        <v>4</v>
      </c>
      <c r="F16" s="5">
        <f t="shared" si="2"/>
        <v>0.0025756600128783</v>
      </c>
      <c r="G16" s="6">
        <f>5</f>
        <v>5</v>
      </c>
      <c r="H16" s="5">
        <f t="shared" si="3"/>
        <v>0.009652509652509652</v>
      </c>
      <c r="I16" s="6">
        <f>5</f>
        <v>5</v>
      </c>
      <c r="J16" s="5">
        <f t="shared" si="4"/>
        <v>0.0013498920086393088</v>
      </c>
      <c r="K16" s="15">
        <f t="shared" si="1"/>
        <v>0.004526020558009086</v>
      </c>
      <c r="L16" s="119"/>
      <c r="M16" s="123">
        <f t="shared" si="5"/>
        <v>405.9715898026456</v>
      </c>
      <c r="N16" s="55"/>
    </row>
    <row r="17" spans="1:14" ht="12.75">
      <c r="A17" s="9" t="s">
        <v>74</v>
      </c>
      <c r="B17" s="10" t="s">
        <v>151</v>
      </c>
      <c r="E17" s="23">
        <f t="shared" si="0"/>
        <v>0</v>
      </c>
      <c r="F17" s="5">
        <f t="shared" si="2"/>
        <v>0</v>
      </c>
      <c r="H17" s="5">
        <f t="shared" si="3"/>
        <v>0</v>
      </c>
      <c r="I17" s="6">
        <f>96</f>
        <v>96</v>
      </c>
      <c r="J17" s="5">
        <f t="shared" si="4"/>
        <v>0.02591792656587473</v>
      </c>
      <c r="K17" s="15">
        <f t="shared" si="1"/>
        <v>0.008639308855291577</v>
      </c>
      <c r="L17" s="119"/>
      <c r="M17" s="123">
        <f t="shared" si="5"/>
        <v>774.9222315334774</v>
      </c>
      <c r="N17" s="55"/>
    </row>
    <row r="18" spans="1:14" ht="12.75">
      <c r="A18" s="9" t="s">
        <v>152</v>
      </c>
      <c r="B18" s="10" t="s">
        <v>153</v>
      </c>
      <c r="C18" s="11">
        <f>48</f>
        <v>48</v>
      </c>
      <c r="D18" s="11">
        <f>152</f>
        <v>152</v>
      </c>
      <c r="E18" s="23">
        <f t="shared" si="0"/>
        <v>200</v>
      </c>
      <c r="F18" s="5">
        <f t="shared" si="2"/>
        <v>0.128783000643915</v>
      </c>
      <c r="G18" s="6">
        <f>17</f>
        <v>17</v>
      </c>
      <c r="H18" s="5">
        <f t="shared" si="3"/>
        <v>0.032818532818532815</v>
      </c>
      <c r="I18" s="6">
        <f>88</f>
        <v>88</v>
      </c>
      <c r="J18" s="5">
        <f t="shared" si="4"/>
        <v>0.023758099352051837</v>
      </c>
      <c r="K18" s="15">
        <f t="shared" si="1"/>
        <v>0.061786544271499884</v>
      </c>
      <c r="L18" s="119"/>
      <c r="M18" s="123">
        <f t="shared" si="5"/>
        <v>5542.083003119668</v>
      </c>
      <c r="N18" s="55"/>
    </row>
    <row r="19" spans="1:14" ht="12.75">
      <c r="A19" s="9" t="s">
        <v>154</v>
      </c>
      <c r="B19" s="10" t="s">
        <v>155</v>
      </c>
      <c r="C19" s="11">
        <f>33</f>
        <v>33</v>
      </c>
      <c r="D19" s="11">
        <f>7</f>
        <v>7</v>
      </c>
      <c r="E19" s="23">
        <f t="shared" si="0"/>
        <v>40</v>
      </c>
      <c r="F19" s="5">
        <f t="shared" si="2"/>
        <v>0.025756600128783</v>
      </c>
      <c r="G19" s="6">
        <f>16</f>
        <v>16</v>
      </c>
      <c r="H19" s="5">
        <f t="shared" si="3"/>
        <v>0.03088803088803089</v>
      </c>
      <c r="I19" s="6">
        <f>81</f>
        <v>81</v>
      </c>
      <c r="J19" s="5">
        <f t="shared" si="4"/>
        <v>0.021868250539956804</v>
      </c>
      <c r="K19" s="15">
        <f t="shared" si="1"/>
        <v>0.026170960518923564</v>
      </c>
      <c r="L19" s="119"/>
      <c r="M19" s="123">
        <f t="shared" si="5"/>
        <v>2347.463143915384</v>
      </c>
      <c r="N19" s="55"/>
    </row>
    <row r="20" spans="1:14" ht="12.75">
      <c r="A20" s="9" t="s">
        <v>156</v>
      </c>
      <c r="B20" s="10" t="s">
        <v>157</v>
      </c>
      <c r="E20" s="23">
        <f t="shared" si="0"/>
        <v>0</v>
      </c>
      <c r="F20" s="5">
        <f t="shared" si="2"/>
        <v>0</v>
      </c>
      <c r="G20" s="6">
        <f>7</f>
        <v>7</v>
      </c>
      <c r="H20" s="5">
        <f t="shared" si="3"/>
        <v>0.013513513513513514</v>
      </c>
      <c r="I20" s="6">
        <f>5</f>
        <v>5</v>
      </c>
      <c r="J20" s="5">
        <f t="shared" si="4"/>
        <v>0.0013498920086393088</v>
      </c>
      <c r="K20" s="15">
        <f t="shared" si="1"/>
        <v>0.004954468507384274</v>
      </c>
      <c r="L20" s="119"/>
      <c r="M20" s="123">
        <f t="shared" si="5"/>
        <v>444.4021919013777</v>
      </c>
      <c r="N20" s="55"/>
    </row>
    <row r="21" spans="1:14" ht="12.75">
      <c r="A21" s="9" t="s">
        <v>158</v>
      </c>
      <c r="B21" s="10" t="s">
        <v>159</v>
      </c>
      <c r="C21" s="11">
        <f>76</f>
        <v>76</v>
      </c>
      <c r="D21" s="11">
        <f>57</f>
        <v>57</v>
      </c>
      <c r="E21" s="23">
        <f t="shared" si="0"/>
        <v>133</v>
      </c>
      <c r="F21" s="5">
        <f t="shared" si="2"/>
        <v>0.08564069542820348</v>
      </c>
      <c r="G21" s="6">
        <f>8+7+5+2+2+2+2+3+1</f>
        <v>32</v>
      </c>
      <c r="H21" s="5">
        <f t="shared" si="3"/>
        <v>0.06177606177606178</v>
      </c>
      <c r="I21" s="6">
        <f>171</f>
        <v>171</v>
      </c>
      <c r="J21" s="5">
        <f t="shared" si="4"/>
        <v>0.046166306695464364</v>
      </c>
      <c r="K21" s="15">
        <f t="shared" si="1"/>
        <v>0.06452768796657654</v>
      </c>
      <c r="L21" s="119"/>
      <c r="M21" s="123">
        <f t="shared" si="5"/>
        <v>5787.956049762938</v>
      </c>
      <c r="N21" s="55"/>
    </row>
    <row r="22" spans="1:14" ht="12.75">
      <c r="A22" s="9" t="s">
        <v>160</v>
      </c>
      <c r="B22" s="10" t="s">
        <v>161</v>
      </c>
      <c r="E22" s="23">
        <f t="shared" si="0"/>
        <v>0</v>
      </c>
      <c r="F22" s="5">
        <f t="shared" si="2"/>
        <v>0</v>
      </c>
      <c r="G22" s="6">
        <f>6</f>
        <v>6</v>
      </c>
      <c r="H22" s="5">
        <f t="shared" si="3"/>
        <v>0.011583011583011582</v>
      </c>
      <c r="I22" s="6">
        <f>47+4</f>
        <v>51</v>
      </c>
      <c r="J22" s="5">
        <f t="shared" si="4"/>
        <v>0.01376889848812095</v>
      </c>
      <c r="K22" s="15">
        <f t="shared" si="1"/>
        <v>0.008450636690377511</v>
      </c>
      <c r="L22" s="119"/>
      <c r="M22" s="123">
        <f t="shared" si="5"/>
        <v>757.9988575098819</v>
      </c>
      <c r="N22" s="55"/>
    </row>
    <row r="23" spans="1:14" ht="12.75">
      <c r="A23" s="9" t="s">
        <v>162</v>
      </c>
      <c r="B23" s="10" t="s">
        <v>163</v>
      </c>
      <c r="C23" s="11">
        <f>77</f>
        <v>77</v>
      </c>
      <c r="D23" s="11">
        <f>4</f>
        <v>4</v>
      </c>
      <c r="E23" s="23">
        <f t="shared" si="0"/>
        <v>81</v>
      </c>
      <c r="F23" s="5">
        <f t="shared" si="2"/>
        <v>0.05215711526078558</v>
      </c>
      <c r="G23" s="6">
        <f>23</f>
        <v>23</v>
      </c>
      <c r="H23" s="5">
        <f t="shared" si="3"/>
        <v>0.0444015444015444</v>
      </c>
      <c r="I23" s="6">
        <f>263</f>
        <v>263</v>
      </c>
      <c r="J23" s="5">
        <f t="shared" si="4"/>
        <v>0.07100431965442765</v>
      </c>
      <c r="K23" s="15">
        <f t="shared" si="1"/>
        <v>0.05585432643891921</v>
      </c>
      <c r="L23" s="119"/>
      <c r="M23" s="123">
        <f t="shared" si="5"/>
        <v>5009.979387220991</v>
      </c>
      <c r="N23" s="55"/>
    </row>
    <row r="24" spans="1:14" ht="12.75">
      <c r="A24" s="9" t="s">
        <v>164</v>
      </c>
      <c r="B24" s="10" t="s">
        <v>165</v>
      </c>
      <c r="C24" s="11">
        <f>21</f>
        <v>21</v>
      </c>
      <c r="D24" s="11">
        <f>18</f>
        <v>18</v>
      </c>
      <c r="E24" s="23">
        <f t="shared" si="0"/>
        <v>39</v>
      </c>
      <c r="F24" s="5">
        <f t="shared" si="2"/>
        <v>0.025112685125563427</v>
      </c>
      <c r="G24" s="6">
        <f>9</f>
        <v>9</v>
      </c>
      <c r="H24" s="5">
        <f t="shared" si="3"/>
        <v>0.017374517374517374</v>
      </c>
      <c r="I24" s="6">
        <f>40</f>
        <v>40</v>
      </c>
      <c r="J24" s="5">
        <f t="shared" si="4"/>
        <v>0.01079913606911447</v>
      </c>
      <c r="K24" s="15">
        <f t="shared" si="1"/>
        <v>0.017762112856398424</v>
      </c>
      <c r="L24" s="119"/>
      <c r="M24" s="123">
        <f t="shared" si="5"/>
        <v>1593.212647212992</v>
      </c>
      <c r="N24" s="55"/>
    </row>
    <row r="25" spans="1:14" ht="12.75">
      <c r="A25" s="9" t="s">
        <v>166</v>
      </c>
      <c r="B25" s="10" t="s">
        <v>167</v>
      </c>
      <c r="C25" s="11">
        <f>29</f>
        <v>29</v>
      </c>
      <c r="D25" s="11">
        <f>3</f>
        <v>3</v>
      </c>
      <c r="E25" s="23">
        <f t="shared" si="0"/>
        <v>32</v>
      </c>
      <c r="F25" s="5">
        <f t="shared" si="2"/>
        <v>0.0206052801030264</v>
      </c>
      <c r="G25" s="6">
        <f>3</f>
        <v>3</v>
      </c>
      <c r="H25" s="5">
        <f t="shared" si="3"/>
        <v>0.005791505791505791</v>
      </c>
      <c r="I25" s="6">
        <f>57</f>
        <v>57</v>
      </c>
      <c r="J25" s="5">
        <f t="shared" si="4"/>
        <v>0.015388768898488121</v>
      </c>
      <c r="K25" s="15">
        <f t="shared" si="1"/>
        <v>0.013928518264340104</v>
      </c>
      <c r="L25" s="119"/>
      <c r="M25" s="123">
        <f t="shared" si="5"/>
        <v>1249.3497612075994</v>
      </c>
      <c r="N25" s="55"/>
    </row>
    <row r="26" spans="1:14" ht="12.75">
      <c r="A26" s="9" t="s">
        <v>168</v>
      </c>
      <c r="B26" s="10" t="s">
        <v>169</v>
      </c>
      <c r="E26" s="23">
        <f t="shared" si="0"/>
        <v>0</v>
      </c>
      <c r="F26" s="5">
        <f t="shared" si="2"/>
        <v>0</v>
      </c>
      <c r="G26" s="6">
        <f>9</f>
        <v>9</v>
      </c>
      <c r="H26" s="5">
        <f t="shared" si="3"/>
        <v>0.017374517374517374</v>
      </c>
      <c r="I26" s="6">
        <f>32</f>
        <v>32</v>
      </c>
      <c r="J26" s="5">
        <f t="shared" si="4"/>
        <v>0.008639308855291577</v>
      </c>
      <c r="K26" s="15">
        <f t="shared" si="1"/>
        <v>0.008671275409936318</v>
      </c>
      <c r="L26" s="119"/>
      <c r="M26" s="123">
        <f t="shared" si="5"/>
        <v>777.7895435227423</v>
      </c>
      <c r="N26" s="55"/>
    </row>
    <row r="27" spans="1:14" ht="12.75">
      <c r="A27" s="9" t="s">
        <v>170</v>
      </c>
      <c r="B27" s="10" t="s">
        <v>171</v>
      </c>
      <c r="C27" s="11">
        <f>19</f>
        <v>19</v>
      </c>
      <c r="D27" s="11">
        <f>12</f>
        <v>12</v>
      </c>
      <c r="E27" s="23">
        <f t="shared" si="0"/>
        <v>31</v>
      </c>
      <c r="F27" s="5">
        <f t="shared" si="2"/>
        <v>0.019961365099806824</v>
      </c>
      <c r="G27" s="6">
        <f>36</f>
        <v>36</v>
      </c>
      <c r="H27" s="5">
        <f t="shared" si="3"/>
        <v>0.0694980694980695</v>
      </c>
      <c r="I27" s="6">
        <f>90</f>
        <v>90</v>
      </c>
      <c r="J27" s="5">
        <f t="shared" si="4"/>
        <v>0.02429805615550756</v>
      </c>
      <c r="K27" s="15">
        <f t="shared" si="1"/>
        <v>0.0379191635844613</v>
      </c>
      <c r="L27" s="119"/>
      <c r="M27" s="123">
        <f t="shared" si="5"/>
        <v>3401.2446313637433</v>
      </c>
      <c r="N27" s="55"/>
    </row>
    <row r="28" spans="1:14" ht="12.75">
      <c r="A28" s="9" t="s">
        <v>172</v>
      </c>
      <c r="B28" s="10" t="s">
        <v>173</v>
      </c>
      <c r="E28" s="23">
        <f t="shared" si="0"/>
        <v>0</v>
      </c>
      <c r="F28" s="5">
        <f t="shared" si="2"/>
        <v>0</v>
      </c>
      <c r="G28" s="6">
        <f>3</f>
        <v>3</v>
      </c>
      <c r="H28" s="5">
        <f t="shared" si="3"/>
        <v>0.005791505791505791</v>
      </c>
      <c r="I28" s="6">
        <f>10</f>
        <v>10</v>
      </c>
      <c r="J28" s="5">
        <f t="shared" si="4"/>
        <v>0.0026997840172786176</v>
      </c>
      <c r="K28" s="15">
        <f t="shared" si="1"/>
        <v>0.0028304299362614696</v>
      </c>
      <c r="L28" s="119"/>
      <c r="M28" s="123">
        <f t="shared" si="5"/>
        <v>253.88177678859822</v>
      </c>
      <c r="N28" s="55"/>
    </row>
    <row r="29" spans="1:14" ht="12.75">
      <c r="A29" s="9" t="s">
        <v>174</v>
      </c>
      <c r="B29" s="10" t="s">
        <v>175</v>
      </c>
      <c r="C29" s="11">
        <f>99</f>
        <v>99</v>
      </c>
      <c r="D29" s="11">
        <f>60</f>
        <v>60</v>
      </c>
      <c r="E29" s="23">
        <f t="shared" si="0"/>
        <v>159</v>
      </c>
      <c r="F29" s="5">
        <f t="shared" si="2"/>
        <v>0.10238248551191242</v>
      </c>
      <c r="G29" s="6">
        <f>62</f>
        <v>62</v>
      </c>
      <c r="H29" s="5">
        <f t="shared" si="3"/>
        <v>0.11969111969111969</v>
      </c>
      <c r="I29" s="6">
        <f>1399</f>
        <v>1399</v>
      </c>
      <c r="J29" s="5">
        <f t="shared" si="4"/>
        <v>0.3776997840172786</v>
      </c>
      <c r="K29" s="15">
        <f t="shared" si="1"/>
        <v>0.19992446307343692</v>
      </c>
      <c r="L29" s="119"/>
      <c r="M29" s="123">
        <f t="shared" si="5"/>
        <v>17932.674205542255</v>
      </c>
      <c r="N29" s="55"/>
    </row>
    <row r="30" spans="1:14" ht="12.75">
      <c r="A30" s="9" t="s">
        <v>176</v>
      </c>
      <c r="B30" s="10" t="s">
        <v>177</v>
      </c>
      <c r="E30" s="23">
        <f t="shared" si="0"/>
        <v>0</v>
      </c>
      <c r="F30" s="5">
        <f t="shared" si="2"/>
        <v>0</v>
      </c>
      <c r="H30" s="5">
        <f t="shared" si="3"/>
        <v>0</v>
      </c>
      <c r="I30" s="6">
        <f>1</f>
        <v>1</v>
      </c>
      <c r="J30" s="5">
        <f t="shared" si="4"/>
        <v>0.0002699784017278618</v>
      </c>
      <c r="K30" s="15">
        <f t="shared" si="1"/>
        <v>8.999280057595393E-05</v>
      </c>
      <c r="L30" s="119"/>
      <c r="M30" s="123">
        <f t="shared" si="5"/>
        <v>8.072106578473724</v>
      </c>
      <c r="N30" s="55"/>
    </row>
    <row r="31" spans="1:14" ht="12.75">
      <c r="A31" s="9" t="s">
        <v>178</v>
      </c>
      <c r="B31" s="10" t="s">
        <v>179</v>
      </c>
      <c r="E31" s="23">
        <f t="shared" si="0"/>
        <v>0</v>
      </c>
      <c r="F31" s="5">
        <f t="shared" si="2"/>
        <v>0</v>
      </c>
      <c r="H31" s="5">
        <f t="shared" si="3"/>
        <v>0</v>
      </c>
      <c r="I31" s="6">
        <f>15</f>
        <v>15</v>
      </c>
      <c r="J31" s="5">
        <f t="shared" si="4"/>
        <v>0.004049676025917927</v>
      </c>
      <c r="K31" s="15">
        <f t="shared" si="1"/>
        <v>0.001349892008639309</v>
      </c>
      <c r="L31" s="119"/>
      <c r="M31" s="123">
        <f t="shared" si="5"/>
        <v>121.08159867710586</v>
      </c>
      <c r="N31" s="55"/>
    </row>
    <row r="32" spans="1:14" ht="12.75">
      <c r="A32" s="9" t="s">
        <v>180</v>
      </c>
      <c r="B32" s="10" t="s">
        <v>181</v>
      </c>
      <c r="E32" s="23">
        <f t="shared" si="0"/>
        <v>0</v>
      </c>
      <c r="F32" s="5">
        <f t="shared" si="2"/>
        <v>0</v>
      </c>
      <c r="G32" s="6">
        <f>17</f>
        <v>17</v>
      </c>
      <c r="H32" s="5">
        <f t="shared" si="3"/>
        <v>0.032818532818532815</v>
      </c>
      <c r="I32" s="6">
        <f>5</f>
        <v>5</v>
      </c>
      <c r="J32" s="5">
        <f t="shared" si="4"/>
        <v>0.0013498920086393088</v>
      </c>
      <c r="K32" s="15">
        <f t="shared" si="1"/>
        <v>0.011389474942390709</v>
      </c>
      <c r="L32" s="119"/>
      <c r="M32" s="123">
        <f t="shared" si="5"/>
        <v>1021.6045619142477</v>
      </c>
      <c r="N32" s="55"/>
    </row>
    <row r="33" spans="1:14" ht="12.75">
      <c r="A33" s="9" t="s">
        <v>182</v>
      </c>
      <c r="B33" s="10" t="s">
        <v>183</v>
      </c>
      <c r="C33" s="11">
        <f>91</f>
        <v>91</v>
      </c>
      <c r="D33" s="11">
        <f>38</f>
        <v>38</v>
      </c>
      <c r="E33" s="23">
        <f t="shared" si="0"/>
        <v>129</v>
      </c>
      <c r="F33" s="5">
        <f t="shared" si="2"/>
        <v>0.08306503541532517</v>
      </c>
      <c r="G33" s="6">
        <f>9+2+2+5+1+2+3+4+2+4+2+2+1</f>
        <v>39</v>
      </c>
      <c r="H33" s="5">
        <f t="shared" si="3"/>
        <v>0.07528957528957529</v>
      </c>
      <c r="I33" s="6">
        <f>235</f>
        <v>235</v>
      </c>
      <c r="J33" s="5">
        <f t="shared" si="4"/>
        <v>0.06344492440604751</v>
      </c>
      <c r="K33" s="15">
        <f t="shared" si="1"/>
        <v>0.073933178370316</v>
      </c>
      <c r="L33" s="119"/>
      <c r="M33" s="123">
        <f t="shared" si="5"/>
        <v>6631.602657890424</v>
      </c>
      <c r="N33" s="55"/>
    </row>
    <row r="34" spans="1:14" ht="12.75">
      <c r="A34" s="9" t="s">
        <v>184</v>
      </c>
      <c r="B34" s="10" t="s">
        <v>185</v>
      </c>
      <c r="C34" s="11">
        <f>29</f>
        <v>29</v>
      </c>
      <c r="D34" s="11">
        <f>20</f>
        <v>20</v>
      </c>
      <c r="E34" s="23">
        <f t="shared" si="0"/>
        <v>49</v>
      </c>
      <c r="F34" s="5">
        <f t="shared" si="2"/>
        <v>0.031551835157759174</v>
      </c>
      <c r="G34" s="6">
        <f>3</f>
        <v>3</v>
      </c>
      <c r="H34" s="5">
        <f t="shared" si="3"/>
        <v>0.005791505791505791</v>
      </c>
      <c r="I34" s="6">
        <f>3</f>
        <v>3</v>
      </c>
      <c r="J34" s="5">
        <f t="shared" si="4"/>
        <v>0.0008099352051835853</v>
      </c>
      <c r="K34" s="15">
        <f t="shared" si="1"/>
        <v>0.012717758718149516</v>
      </c>
      <c r="L34" s="119"/>
      <c r="M34" s="123">
        <f t="shared" si="5"/>
        <v>1140.747961561347</v>
      </c>
      <c r="N34" s="55"/>
    </row>
    <row r="35" spans="1:14" ht="12.75">
      <c r="A35" s="9" t="s">
        <v>186</v>
      </c>
      <c r="B35" s="10" t="s">
        <v>187</v>
      </c>
      <c r="E35" s="23">
        <f t="shared" si="0"/>
        <v>0</v>
      </c>
      <c r="F35" s="5">
        <f t="shared" si="2"/>
        <v>0</v>
      </c>
      <c r="G35" s="6">
        <f>33</f>
        <v>33</v>
      </c>
      <c r="H35" s="5">
        <f t="shared" si="3"/>
        <v>0.0637065637065637</v>
      </c>
      <c r="I35" s="6">
        <f>79</f>
        <v>79</v>
      </c>
      <c r="J35" s="5">
        <f t="shared" si="4"/>
        <v>0.02132829373650108</v>
      </c>
      <c r="K35" s="15">
        <f t="shared" si="1"/>
        <v>0.028344952481021594</v>
      </c>
      <c r="L35" s="119"/>
      <c r="M35" s="123">
        <f t="shared" si="5"/>
        <v>2542.464240741895</v>
      </c>
      <c r="N35" s="55"/>
    </row>
    <row r="36" spans="1:14" ht="12.75">
      <c r="A36" s="9" t="s">
        <v>188</v>
      </c>
      <c r="B36" s="10" t="s">
        <v>189</v>
      </c>
      <c r="C36" s="11">
        <f>16</f>
        <v>16</v>
      </c>
      <c r="D36" s="11">
        <f>44</f>
        <v>44</v>
      </c>
      <c r="E36" s="23">
        <f t="shared" si="0"/>
        <v>60</v>
      </c>
      <c r="F36" s="5">
        <f t="shared" si="2"/>
        <v>0.038634900193174504</v>
      </c>
      <c r="G36" s="6">
        <f>28+24+21</f>
        <v>73</v>
      </c>
      <c r="H36" s="5">
        <f t="shared" si="3"/>
        <v>0.14092664092664092</v>
      </c>
      <c r="I36" s="6">
        <f>216</f>
        <v>216</v>
      </c>
      <c r="J36" s="5">
        <f t="shared" si="4"/>
        <v>0.058315334773218146</v>
      </c>
      <c r="K36" s="15">
        <f t="shared" si="1"/>
        <v>0.07929229196434452</v>
      </c>
      <c r="L36" s="119"/>
      <c r="M36" s="123">
        <f t="shared" si="5"/>
        <v>7112.3004006019055</v>
      </c>
      <c r="N36" s="55"/>
    </row>
    <row r="37" spans="1:14" ht="12.75">
      <c r="A37" s="9" t="s">
        <v>190</v>
      </c>
      <c r="B37" s="10" t="s">
        <v>191</v>
      </c>
      <c r="E37" s="23">
        <f t="shared" si="0"/>
        <v>0</v>
      </c>
      <c r="F37" s="5">
        <f t="shared" si="2"/>
        <v>0</v>
      </c>
      <c r="G37" s="6">
        <f>3</f>
        <v>3</v>
      </c>
      <c r="H37" s="5">
        <f t="shared" si="3"/>
        <v>0.005791505791505791</v>
      </c>
      <c r="I37" s="6">
        <f>13</f>
        <v>13</v>
      </c>
      <c r="J37" s="5">
        <f t="shared" si="4"/>
        <v>0.003509719222462203</v>
      </c>
      <c r="K37" s="15">
        <f t="shared" si="1"/>
        <v>0.003100408337989331</v>
      </c>
      <c r="L37" s="119"/>
      <c r="M37" s="123">
        <f t="shared" si="5"/>
        <v>278.0980965240194</v>
      </c>
      <c r="N37" s="55"/>
    </row>
    <row r="38" spans="1:14" ht="12.75">
      <c r="A38" s="9" t="s">
        <v>192</v>
      </c>
      <c r="B38" s="10" t="s">
        <v>193</v>
      </c>
      <c r="E38" s="23">
        <f t="shared" si="0"/>
        <v>0</v>
      </c>
      <c r="F38" s="5">
        <f t="shared" si="2"/>
        <v>0</v>
      </c>
      <c r="H38" s="5">
        <f t="shared" si="3"/>
        <v>0</v>
      </c>
      <c r="I38" s="6">
        <f>35</f>
        <v>35</v>
      </c>
      <c r="J38" s="5">
        <f t="shared" si="4"/>
        <v>0.009449244060475162</v>
      </c>
      <c r="K38" s="15">
        <f t="shared" si="1"/>
        <v>0.0031497480201583875</v>
      </c>
      <c r="L38" s="119"/>
      <c r="M38" s="123">
        <f t="shared" si="5"/>
        <v>282.5237302465803</v>
      </c>
      <c r="N38" s="55"/>
    </row>
    <row r="39" spans="1:14" ht="12.75">
      <c r="A39" s="9" t="s">
        <v>194</v>
      </c>
      <c r="B39" s="10" t="s">
        <v>195</v>
      </c>
      <c r="C39" s="11">
        <f>1</f>
        <v>1</v>
      </c>
      <c r="D39" s="11">
        <f>1</f>
        <v>1</v>
      </c>
      <c r="E39" s="23">
        <f t="shared" si="0"/>
        <v>2</v>
      </c>
      <c r="F39" s="5">
        <f t="shared" si="2"/>
        <v>0.00128783000643915</v>
      </c>
      <c r="G39" s="6">
        <f>13</f>
        <v>13</v>
      </c>
      <c r="H39" s="5">
        <f t="shared" si="3"/>
        <v>0.025096525096525095</v>
      </c>
      <c r="I39" s="6">
        <f>25</f>
        <v>25</v>
      </c>
      <c r="J39" s="5">
        <f t="shared" si="4"/>
        <v>0.006749460043196544</v>
      </c>
      <c r="K39" s="15">
        <f t="shared" si="1"/>
        <v>0.011044605048720263</v>
      </c>
      <c r="L39" s="119"/>
      <c r="M39" s="123">
        <f t="shared" si="5"/>
        <v>990.670681430495</v>
      </c>
      <c r="N39" s="55"/>
    </row>
    <row r="40" spans="1:14" ht="12.75">
      <c r="A40" s="29" t="s">
        <v>196</v>
      </c>
      <c r="B40" s="21" t="s">
        <v>197</v>
      </c>
      <c r="C40" s="11">
        <f>2</f>
        <v>2</v>
      </c>
      <c r="D40" s="11">
        <f>2</f>
        <v>2</v>
      </c>
      <c r="E40" s="23">
        <f t="shared" si="0"/>
        <v>4</v>
      </c>
      <c r="F40" s="5">
        <f t="shared" si="2"/>
        <v>0.0025756600128783</v>
      </c>
      <c r="H40" s="5">
        <f t="shared" si="3"/>
        <v>0</v>
      </c>
      <c r="J40" s="5">
        <f t="shared" si="4"/>
        <v>0</v>
      </c>
      <c r="K40" s="15">
        <f t="shared" si="1"/>
        <v>0.0008585533376261</v>
      </c>
      <c r="L40" s="119"/>
      <c r="M40" s="123">
        <f t="shared" si="5"/>
        <v>77.00987190384203</v>
      </c>
      <c r="N40" s="55"/>
    </row>
    <row r="41" spans="1:14" ht="12.75">
      <c r="A41" s="9" t="s">
        <v>198</v>
      </c>
      <c r="B41" s="10" t="s">
        <v>199</v>
      </c>
      <c r="E41" s="23">
        <f t="shared" si="0"/>
        <v>0</v>
      </c>
      <c r="F41" s="5">
        <f t="shared" si="2"/>
        <v>0</v>
      </c>
      <c r="H41" s="5">
        <f t="shared" si="3"/>
        <v>0</v>
      </c>
      <c r="I41" s="6">
        <f>4</f>
        <v>4</v>
      </c>
      <c r="J41" s="5">
        <f t="shared" si="4"/>
        <v>0.0010799136069114472</v>
      </c>
      <c r="K41" s="15">
        <f t="shared" si="1"/>
        <v>0.00035997120230381573</v>
      </c>
      <c r="L41" s="119"/>
      <c r="M41" s="123">
        <f t="shared" si="5"/>
        <v>32.288426313894895</v>
      </c>
      <c r="N41" s="55"/>
    </row>
    <row r="42" spans="1:14" ht="12.75">
      <c r="A42" s="9" t="s">
        <v>200</v>
      </c>
      <c r="B42" s="10" t="s">
        <v>201</v>
      </c>
      <c r="E42" s="23">
        <f t="shared" si="0"/>
        <v>0</v>
      </c>
      <c r="F42" s="5">
        <f t="shared" si="2"/>
        <v>0</v>
      </c>
      <c r="G42" s="6">
        <f>12</f>
        <v>12</v>
      </c>
      <c r="H42" s="5">
        <f t="shared" si="3"/>
        <v>0.023166023166023165</v>
      </c>
      <c r="I42" s="6">
        <f>10</f>
        <v>10</v>
      </c>
      <c r="J42" s="5">
        <f t="shared" si="4"/>
        <v>0.0026997840172786176</v>
      </c>
      <c r="K42" s="15">
        <f t="shared" si="1"/>
        <v>0.00862193572776726</v>
      </c>
      <c r="L42" s="119"/>
      <c r="M42" s="123">
        <f t="shared" si="5"/>
        <v>773.3639098001812</v>
      </c>
      <c r="N42" s="55"/>
    </row>
    <row r="43" spans="1:14" ht="12.75">
      <c r="A43" s="9" t="s">
        <v>202</v>
      </c>
      <c r="B43" s="10" t="s">
        <v>203</v>
      </c>
      <c r="C43" s="11">
        <f>165</f>
        <v>165</v>
      </c>
      <c r="D43" s="11">
        <f>194</f>
        <v>194</v>
      </c>
      <c r="E43" s="23">
        <f t="shared" si="0"/>
        <v>359</v>
      </c>
      <c r="F43" s="5">
        <f t="shared" si="2"/>
        <v>0.23116548615582744</v>
      </c>
      <c r="G43" s="6">
        <f>16+3+11+20</f>
        <v>50</v>
      </c>
      <c r="H43" s="5">
        <f t="shared" si="3"/>
        <v>0.09652509652509653</v>
      </c>
      <c r="I43" s="6">
        <f>201</f>
        <v>201</v>
      </c>
      <c r="J43" s="5">
        <f t="shared" si="4"/>
        <v>0.054265658747300216</v>
      </c>
      <c r="K43" s="15">
        <f t="shared" si="1"/>
        <v>0.1273187471427414</v>
      </c>
      <c r="L43" s="119"/>
      <c r="M43" s="123">
        <f t="shared" si="5"/>
        <v>11420.141275707392</v>
      </c>
      <c r="N43" s="55"/>
    </row>
    <row r="44" spans="1:14" ht="12.75">
      <c r="A44" s="9" t="s">
        <v>204</v>
      </c>
      <c r="B44" s="10" t="s">
        <v>205</v>
      </c>
      <c r="E44" s="23">
        <f t="shared" si="0"/>
        <v>0</v>
      </c>
      <c r="F44" s="5">
        <f t="shared" si="2"/>
        <v>0</v>
      </c>
      <c r="H44" s="5">
        <f t="shared" si="3"/>
        <v>0</v>
      </c>
      <c r="I44" s="6">
        <f>9</f>
        <v>9</v>
      </c>
      <c r="J44" s="5">
        <f t="shared" si="4"/>
        <v>0.002429805615550756</v>
      </c>
      <c r="K44" s="15">
        <f t="shared" si="1"/>
        <v>0.0008099352051835853</v>
      </c>
      <c r="L44" s="119"/>
      <c r="M44" s="123">
        <f t="shared" si="5"/>
        <v>72.6489592062635</v>
      </c>
      <c r="N44" s="55"/>
    </row>
    <row r="45" spans="1:14" ht="13.5" thickBot="1">
      <c r="A45" s="24" t="s">
        <v>206</v>
      </c>
      <c r="B45" s="28"/>
      <c r="C45" s="24">
        <f aca="true" t="shared" si="6" ref="C45:J45">SUM(C7:C44)</f>
        <v>900</v>
      </c>
      <c r="D45" s="24">
        <f t="shared" si="6"/>
        <v>653</v>
      </c>
      <c r="E45" s="24">
        <f t="shared" si="6"/>
        <v>1553</v>
      </c>
      <c r="F45" s="25">
        <f t="shared" si="6"/>
        <v>1</v>
      </c>
      <c r="G45" s="1">
        <f t="shared" si="6"/>
        <v>518</v>
      </c>
      <c r="H45" s="25">
        <f t="shared" si="6"/>
        <v>0.9999999999999998</v>
      </c>
      <c r="I45" s="1">
        <f t="shared" si="6"/>
        <v>3704</v>
      </c>
      <c r="J45" s="25">
        <f t="shared" si="6"/>
        <v>1</v>
      </c>
      <c r="K45" s="15">
        <f t="shared" si="1"/>
        <v>1</v>
      </c>
      <c r="L45" s="131"/>
      <c r="M45" s="133">
        <v>89697.2483</v>
      </c>
      <c r="N45" s="75"/>
    </row>
    <row r="47" ht="12.75">
      <c r="M47" s="136">
        <f>SUM(M7:M44)</f>
        <v>89697.24829999999</v>
      </c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xSplit="1" ySplit="5" topLeftCell="L30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50.140625" style="9" bestFit="1" customWidth="1"/>
    <col min="2" max="2" width="8.140625" style="10" hidden="1" customWidth="1"/>
    <col min="3" max="4" width="4.00390625" style="11" hidden="1" customWidth="1"/>
    <col min="5" max="5" width="7.28125" style="4" hidden="1" customWidth="1"/>
    <col min="6" max="6" width="7.00390625" style="5" hidden="1" customWidth="1"/>
    <col min="7" max="7" width="11.7109375" style="6" hidden="1" customWidth="1"/>
    <col min="8" max="8" width="7.00390625" style="5" hidden="1" customWidth="1"/>
    <col min="9" max="9" width="15.00390625" style="6" hidden="1" customWidth="1"/>
    <col min="10" max="10" width="7.00390625" style="5" hidden="1" customWidth="1"/>
    <col min="11" max="11" width="8.57421875" style="7" hidden="1" customWidth="1"/>
    <col min="12" max="12" width="6.7109375" style="9" customWidth="1"/>
    <col min="13" max="13" width="8.7109375" style="9" bestFit="1" customWidth="1"/>
    <col min="14" max="14" width="6.7109375" style="9" customWidth="1"/>
    <col min="15" max="16384" width="6.8515625" style="9" customWidth="1"/>
  </cols>
  <sheetData>
    <row r="1" spans="1:4" ht="12.75" customHeight="1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3.5" thickBot="1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51</v>
      </c>
      <c r="B6" s="2"/>
      <c r="C6" s="3"/>
      <c r="D6" s="3"/>
      <c r="K6" s="15"/>
      <c r="L6" s="128"/>
      <c r="M6" s="129"/>
      <c r="N6" s="130"/>
    </row>
    <row r="7" spans="1:14" ht="12.75">
      <c r="A7" s="9" t="s">
        <v>52</v>
      </c>
      <c r="B7" s="10" t="s">
        <v>53</v>
      </c>
      <c r="E7" s="23">
        <f aca="true" t="shared" si="0" ref="E7:E30">C7+D7</f>
        <v>0</v>
      </c>
      <c r="F7" s="5">
        <f>+E7/$E$31</f>
        <v>0</v>
      </c>
      <c r="G7" s="6">
        <f>5</f>
        <v>5</v>
      </c>
      <c r="H7" s="5">
        <f>+G7/$G$31</f>
        <v>0.016666666666666666</v>
      </c>
      <c r="I7" s="6">
        <f>10</f>
        <v>10</v>
      </c>
      <c r="J7" s="5">
        <f>+I7/$I$31</f>
        <v>0.004142502071251036</v>
      </c>
      <c r="K7" s="15">
        <f aca="true" t="shared" si="1" ref="K7:K30">+(F7+H7+J7)/3</f>
        <v>0.0069363895793059</v>
      </c>
      <c r="L7" s="119"/>
      <c r="M7" s="123">
        <f>K7*$M$31</f>
        <v>391.8478343441038</v>
      </c>
      <c r="N7" s="55"/>
    </row>
    <row r="8" spans="1:14" ht="12.75">
      <c r="A8" s="6" t="s">
        <v>54</v>
      </c>
      <c r="B8" s="10" t="s">
        <v>55</v>
      </c>
      <c r="C8" s="11">
        <f>10+1</f>
        <v>11</v>
      </c>
      <c r="D8" s="11">
        <f>22</f>
        <v>22</v>
      </c>
      <c r="E8" s="23">
        <f t="shared" si="0"/>
        <v>33</v>
      </c>
      <c r="F8" s="5">
        <f aca="true" t="shared" si="2" ref="F8:F30">+E8/$E$31</f>
        <v>0.0323846908734053</v>
      </c>
      <c r="G8" s="6">
        <f>1+4+1+1+2+1+1+1+5+8+5+1+30</f>
        <v>61</v>
      </c>
      <c r="H8" s="5">
        <f aca="true" t="shared" si="3" ref="H8:H30">+G8/$G$31</f>
        <v>0.20333333333333334</v>
      </c>
      <c r="I8" s="6">
        <f>53+380</f>
        <v>433</v>
      </c>
      <c r="J8" s="5">
        <f aca="true" t="shared" si="4" ref="J8:J30">+I8/$I$31</f>
        <v>0.17937033968516986</v>
      </c>
      <c r="K8" s="15">
        <f t="shared" si="1"/>
        <v>0.1383627879639695</v>
      </c>
      <c r="L8" s="119"/>
      <c r="M8" s="123">
        <f aca="true" t="shared" si="5" ref="M8:M30">K8*$M$31</f>
        <v>7816.337043589065</v>
      </c>
      <c r="N8" s="55"/>
    </row>
    <row r="9" spans="1:14" ht="12.75">
      <c r="A9" s="6" t="s">
        <v>56</v>
      </c>
      <c r="B9" s="10" t="s">
        <v>57</v>
      </c>
      <c r="E9" s="23">
        <f t="shared" si="0"/>
        <v>0</v>
      </c>
      <c r="F9" s="5">
        <f t="shared" si="2"/>
        <v>0</v>
      </c>
      <c r="H9" s="5">
        <f t="shared" si="3"/>
        <v>0</v>
      </c>
      <c r="I9" s="6">
        <f>2</f>
        <v>2</v>
      </c>
      <c r="J9" s="5">
        <f t="shared" si="4"/>
        <v>0.0008285004142502071</v>
      </c>
      <c r="K9" s="15">
        <f t="shared" si="1"/>
        <v>0.00027616680475006904</v>
      </c>
      <c r="L9" s="119"/>
      <c r="M9" s="123">
        <f t="shared" si="5"/>
        <v>15.6011082021541</v>
      </c>
      <c r="N9" s="55"/>
    </row>
    <row r="10" spans="1:14" ht="12.75">
      <c r="A10" s="6" t="s">
        <v>58</v>
      </c>
      <c r="B10" s="21" t="s">
        <v>59</v>
      </c>
      <c r="C10" s="22"/>
      <c r="D10" s="22"/>
      <c r="E10" s="23">
        <f t="shared" si="0"/>
        <v>0</v>
      </c>
      <c r="F10" s="5">
        <f t="shared" si="2"/>
        <v>0</v>
      </c>
      <c r="G10" s="6">
        <f>10</f>
        <v>10</v>
      </c>
      <c r="H10" s="5">
        <f t="shared" si="3"/>
        <v>0.03333333333333333</v>
      </c>
      <c r="I10" s="6">
        <f>69</f>
        <v>69</v>
      </c>
      <c r="J10" s="5">
        <f t="shared" si="4"/>
        <v>0.028583264291632146</v>
      </c>
      <c r="K10" s="15">
        <f t="shared" si="1"/>
        <v>0.020638865874988494</v>
      </c>
      <c r="L10" s="119"/>
      <c r="M10" s="123">
        <f t="shared" si="5"/>
        <v>1165.922819640983</v>
      </c>
      <c r="N10" s="55"/>
    </row>
    <row r="11" spans="1:14" ht="12.75">
      <c r="A11" s="6" t="s">
        <v>60</v>
      </c>
      <c r="B11" s="21" t="s">
        <v>61</v>
      </c>
      <c r="C11" s="22">
        <f>3</f>
        <v>3</v>
      </c>
      <c r="D11" s="22">
        <f>3</f>
        <v>3</v>
      </c>
      <c r="E11" s="23">
        <f t="shared" si="0"/>
        <v>6</v>
      </c>
      <c r="F11" s="5">
        <f t="shared" si="2"/>
        <v>0.005888125613346418</v>
      </c>
      <c r="H11" s="5">
        <f t="shared" si="3"/>
        <v>0</v>
      </c>
      <c r="I11" s="6">
        <f>9</f>
        <v>9</v>
      </c>
      <c r="J11" s="5">
        <f t="shared" si="4"/>
        <v>0.003728251864125932</v>
      </c>
      <c r="K11" s="15">
        <f t="shared" si="1"/>
        <v>0.00320545915915745</v>
      </c>
      <c r="L11" s="119"/>
      <c r="M11" s="123">
        <f t="shared" si="5"/>
        <v>181.08155766533622</v>
      </c>
      <c r="N11" s="55"/>
    </row>
    <row r="12" spans="1:14" ht="12.75">
      <c r="A12" s="6" t="s">
        <v>62</v>
      </c>
      <c r="B12" s="10" t="s">
        <v>63</v>
      </c>
      <c r="C12" s="11">
        <f>8</f>
        <v>8</v>
      </c>
      <c r="D12" s="11">
        <f>8</f>
        <v>8</v>
      </c>
      <c r="E12" s="23">
        <f t="shared" si="0"/>
        <v>16</v>
      </c>
      <c r="F12" s="5">
        <f t="shared" si="2"/>
        <v>0.015701668302257114</v>
      </c>
      <c r="G12" s="6">
        <f>4</f>
        <v>4</v>
      </c>
      <c r="H12" s="5">
        <f t="shared" si="3"/>
        <v>0.013333333333333334</v>
      </c>
      <c r="I12" s="6">
        <f>163</f>
        <v>163</v>
      </c>
      <c r="J12" s="5">
        <f t="shared" si="4"/>
        <v>0.06752278376139188</v>
      </c>
      <c r="K12" s="15">
        <f t="shared" si="1"/>
        <v>0.032185928465660776</v>
      </c>
      <c r="L12" s="119"/>
      <c r="M12" s="123">
        <f t="shared" si="5"/>
        <v>1818.2350084906066</v>
      </c>
      <c r="N12" s="55"/>
    </row>
    <row r="13" spans="1:14" ht="12.75">
      <c r="A13" s="6" t="s">
        <v>64</v>
      </c>
      <c r="B13" s="10" t="s">
        <v>65</v>
      </c>
      <c r="C13" s="11">
        <f>177</f>
        <v>177</v>
      </c>
      <c r="D13" s="11">
        <f>571</f>
        <v>571</v>
      </c>
      <c r="E13" s="23">
        <f t="shared" si="0"/>
        <v>748</v>
      </c>
      <c r="F13" s="5">
        <f t="shared" si="2"/>
        <v>0.7340529931305201</v>
      </c>
      <c r="G13" s="6">
        <f>5+2+6+1+50+2</f>
        <v>66</v>
      </c>
      <c r="H13" s="5">
        <f t="shared" si="3"/>
        <v>0.22</v>
      </c>
      <c r="I13" s="6">
        <v>307</v>
      </c>
      <c r="J13" s="5">
        <f t="shared" si="4"/>
        <v>0.1271748135874068</v>
      </c>
      <c r="K13" s="15">
        <f t="shared" si="1"/>
        <v>0.36040926890597563</v>
      </c>
      <c r="L13" s="119"/>
      <c r="M13" s="123">
        <f t="shared" si="5"/>
        <v>20360.100868567453</v>
      </c>
      <c r="N13" s="55"/>
    </row>
    <row r="14" spans="1:14" ht="12.75">
      <c r="A14" s="6" t="s">
        <v>66</v>
      </c>
      <c r="B14" s="10" t="s">
        <v>67</v>
      </c>
      <c r="E14" s="23">
        <f t="shared" si="0"/>
        <v>0</v>
      </c>
      <c r="F14" s="5">
        <f t="shared" si="2"/>
        <v>0</v>
      </c>
      <c r="G14" s="6">
        <f>25</f>
        <v>25</v>
      </c>
      <c r="H14" s="5">
        <f t="shared" si="3"/>
        <v>0.08333333333333333</v>
      </c>
      <c r="I14" s="6">
        <f>98</f>
        <v>98</v>
      </c>
      <c r="J14" s="5">
        <f t="shared" si="4"/>
        <v>0.04059652029826015</v>
      </c>
      <c r="K14" s="15">
        <f t="shared" si="1"/>
        <v>0.04130995121053116</v>
      </c>
      <c r="L14" s="119"/>
      <c r="M14" s="123">
        <f t="shared" si="5"/>
        <v>2333.6657685722175</v>
      </c>
      <c r="N14" s="55"/>
    </row>
    <row r="15" spans="1:14" ht="12.75">
      <c r="A15" s="6" t="s">
        <v>68</v>
      </c>
      <c r="B15" s="10" t="s">
        <v>69</v>
      </c>
      <c r="E15" s="23">
        <f t="shared" si="0"/>
        <v>0</v>
      </c>
      <c r="F15" s="5">
        <f t="shared" si="2"/>
        <v>0</v>
      </c>
      <c r="G15" s="6">
        <f>7</f>
        <v>7</v>
      </c>
      <c r="H15" s="5">
        <f t="shared" si="3"/>
        <v>0.023333333333333334</v>
      </c>
      <c r="I15" s="6">
        <f>1</f>
        <v>1</v>
      </c>
      <c r="J15" s="5">
        <f t="shared" si="4"/>
        <v>0.00041425020712510354</v>
      </c>
      <c r="K15" s="15">
        <f t="shared" si="1"/>
        <v>0.007915861180152813</v>
      </c>
      <c r="L15" s="119"/>
      <c r="M15" s="123">
        <f t="shared" si="5"/>
        <v>447.1797647677437</v>
      </c>
      <c r="N15" s="55"/>
    </row>
    <row r="16" spans="1:14" ht="12.75">
      <c r="A16" s="6" t="s">
        <v>70</v>
      </c>
      <c r="B16" s="10" t="s">
        <v>71</v>
      </c>
      <c r="C16" s="11">
        <f>62</f>
        <v>62</v>
      </c>
      <c r="D16" s="11">
        <f>51</f>
        <v>51</v>
      </c>
      <c r="E16" s="23">
        <f t="shared" si="0"/>
        <v>113</v>
      </c>
      <c r="F16" s="5">
        <f t="shared" si="2"/>
        <v>0.11089303238469088</v>
      </c>
      <c r="G16" s="6">
        <f>2+1+6+3+7+6+2+5</f>
        <v>32</v>
      </c>
      <c r="H16" s="5">
        <f t="shared" si="3"/>
        <v>0.10666666666666667</v>
      </c>
      <c r="I16" s="6">
        <f>81</f>
        <v>81</v>
      </c>
      <c r="J16" s="5">
        <f t="shared" si="4"/>
        <v>0.03355426677713339</v>
      </c>
      <c r="K16" s="15">
        <f t="shared" si="1"/>
        <v>0.08370465527616365</v>
      </c>
      <c r="L16" s="119"/>
      <c r="M16" s="123">
        <f t="shared" si="5"/>
        <v>4728.610975418514</v>
      </c>
      <c r="N16" s="55"/>
    </row>
    <row r="17" spans="1:14" ht="12.75">
      <c r="A17" s="9" t="s">
        <v>72</v>
      </c>
      <c r="B17" s="10" t="s">
        <v>73</v>
      </c>
      <c r="C17" s="11">
        <f>1</f>
        <v>1</v>
      </c>
      <c r="D17" s="11">
        <f>1</f>
        <v>1</v>
      </c>
      <c r="E17" s="23">
        <f t="shared" si="0"/>
        <v>2</v>
      </c>
      <c r="F17" s="5">
        <f t="shared" si="2"/>
        <v>0.001962708537782139</v>
      </c>
      <c r="H17" s="5">
        <f t="shared" si="3"/>
        <v>0</v>
      </c>
      <c r="I17" s="6">
        <f>41</f>
        <v>41</v>
      </c>
      <c r="J17" s="5">
        <f t="shared" si="4"/>
        <v>0.016984258492129246</v>
      </c>
      <c r="K17" s="15">
        <f t="shared" si="1"/>
        <v>0.006315655676637128</v>
      </c>
      <c r="L17" s="119"/>
      <c r="M17" s="123">
        <f t="shared" si="5"/>
        <v>356.7815750627066</v>
      </c>
      <c r="N17" s="55"/>
    </row>
    <row r="18" spans="1:14" ht="12.75">
      <c r="A18" s="9" t="s">
        <v>74</v>
      </c>
      <c r="B18" s="10" t="s">
        <v>75</v>
      </c>
      <c r="E18" s="23">
        <f t="shared" si="0"/>
        <v>0</v>
      </c>
      <c r="F18" s="5">
        <f t="shared" si="2"/>
        <v>0</v>
      </c>
      <c r="H18" s="5">
        <f t="shared" si="3"/>
        <v>0</v>
      </c>
      <c r="I18" s="6">
        <f>50</f>
        <v>50</v>
      </c>
      <c r="J18" s="5">
        <f t="shared" si="4"/>
        <v>0.020712510356255178</v>
      </c>
      <c r="K18" s="15">
        <f t="shared" si="1"/>
        <v>0.006904170118751726</v>
      </c>
      <c r="L18" s="119"/>
      <c r="M18" s="123">
        <f t="shared" si="5"/>
        <v>390.02770505385246</v>
      </c>
      <c r="N18" s="55"/>
    </row>
    <row r="19" spans="1:14" ht="12.75">
      <c r="A19" s="6" t="s">
        <v>76</v>
      </c>
      <c r="B19" s="10" t="s">
        <v>77</v>
      </c>
      <c r="E19" s="23">
        <f t="shared" si="0"/>
        <v>0</v>
      </c>
      <c r="F19" s="5">
        <f t="shared" si="2"/>
        <v>0</v>
      </c>
      <c r="G19" s="6">
        <f>47</f>
        <v>47</v>
      </c>
      <c r="H19" s="5">
        <f t="shared" si="3"/>
        <v>0.15666666666666668</v>
      </c>
      <c r="I19" s="6">
        <f>74</f>
        <v>74</v>
      </c>
      <c r="J19" s="5">
        <f t="shared" si="4"/>
        <v>0.030654515327257662</v>
      </c>
      <c r="K19" s="15">
        <f t="shared" si="1"/>
        <v>0.062440393997974776</v>
      </c>
      <c r="L19" s="119"/>
      <c r="M19" s="123">
        <f t="shared" si="5"/>
        <v>3527.3585608130347</v>
      </c>
      <c r="N19" s="55"/>
    </row>
    <row r="20" spans="1:14" ht="12.75">
      <c r="A20" s="6" t="s">
        <v>78</v>
      </c>
      <c r="B20" s="10" t="s">
        <v>79</v>
      </c>
      <c r="C20" s="11">
        <f>8</f>
        <v>8</v>
      </c>
      <c r="D20" s="11">
        <f>2</f>
        <v>2</v>
      </c>
      <c r="E20" s="23">
        <f t="shared" si="0"/>
        <v>10</v>
      </c>
      <c r="F20" s="5">
        <f t="shared" si="2"/>
        <v>0.009813542688910697</v>
      </c>
      <c r="G20" s="6">
        <f>5+2+2+1+3+2</f>
        <v>15</v>
      </c>
      <c r="H20" s="5">
        <f t="shared" si="3"/>
        <v>0.05</v>
      </c>
      <c r="I20" s="6">
        <f>89</f>
        <v>89</v>
      </c>
      <c r="J20" s="5">
        <f t="shared" si="4"/>
        <v>0.03686826843413422</v>
      </c>
      <c r="K20" s="15">
        <f t="shared" si="1"/>
        <v>0.032227270374348305</v>
      </c>
      <c r="L20" s="119"/>
      <c r="M20" s="123">
        <f t="shared" si="5"/>
        <v>1820.5704795885954</v>
      </c>
      <c r="N20" s="55"/>
    </row>
    <row r="21" spans="1:14" ht="12.75">
      <c r="A21" s="6" t="s">
        <v>80</v>
      </c>
      <c r="B21" s="10" t="s">
        <v>81</v>
      </c>
      <c r="E21" s="23">
        <f t="shared" si="0"/>
        <v>0</v>
      </c>
      <c r="F21" s="5">
        <f t="shared" si="2"/>
        <v>0</v>
      </c>
      <c r="G21" s="6">
        <f>1</f>
        <v>1</v>
      </c>
      <c r="H21" s="5">
        <f t="shared" si="3"/>
        <v>0.0033333333333333335</v>
      </c>
      <c r="I21" s="6">
        <f>173</f>
        <v>173</v>
      </c>
      <c r="J21" s="5">
        <f t="shared" si="4"/>
        <v>0.07166528583264292</v>
      </c>
      <c r="K21" s="15">
        <f t="shared" si="1"/>
        <v>0.024999539721992082</v>
      </c>
      <c r="L21" s="119"/>
      <c r="M21" s="123">
        <f t="shared" si="5"/>
        <v>1412.264318152996</v>
      </c>
      <c r="N21" s="55"/>
    </row>
    <row r="22" spans="1:14" ht="12.75">
      <c r="A22" s="6" t="s">
        <v>82</v>
      </c>
      <c r="B22" s="10" t="s">
        <v>83</v>
      </c>
      <c r="E22" s="23">
        <f t="shared" si="0"/>
        <v>0</v>
      </c>
      <c r="F22" s="5">
        <f t="shared" si="2"/>
        <v>0</v>
      </c>
      <c r="H22" s="5">
        <f t="shared" si="3"/>
        <v>0</v>
      </c>
      <c r="I22" s="6">
        <f>133</f>
        <v>133</v>
      </c>
      <c r="J22" s="5">
        <f t="shared" si="4"/>
        <v>0.05509527754763877</v>
      </c>
      <c r="K22" s="15">
        <f t="shared" si="1"/>
        <v>0.018365092515879592</v>
      </c>
      <c r="L22" s="119"/>
      <c r="M22" s="123">
        <f t="shared" si="5"/>
        <v>1037.4736954432476</v>
      </c>
      <c r="N22" s="55"/>
    </row>
    <row r="23" spans="1:14" ht="12.75">
      <c r="A23" s="9" t="s">
        <v>84</v>
      </c>
      <c r="B23" s="10" t="s">
        <v>85</v>
      </c>
      <c r="C23" s="11">
        <f>1</f>
        <v>1</v>
      </c>
      <c r="D23" s="11">
        <f>1</f>
        <v>1</v>
      </c>
      <c r="E23" s="23">
        <f t="shared" si="0"/>
        <v>2</v>
      </c>
      <c r="F23" s="5">
        <f t="shared" si="2"/>
        <v>0.001962708537782139</v>
      </c>
      <c r="H23" s="5">
        <f t="shared" si="3"/>
        <v>0</v>
      </c>
      <c r="I23" s="6">
        <f>16</f>
        <v>16</v>
      </c>
      <c r="J23" s="5">
        <f t="shared" si="4"/>
        <v>0.006628003314001657</v>
      </c>
      <c r="K23" s="15">
        <f t="shared" si="1"/>
        <v>0.0028635706172612653</v>
      </c>
      <c r="L23" s="119"/>
      <c r="M23" s="123">
        <f t="shared" si="5"/>
        <v>161.7677225357804</v>
      </c>
      <c r="N23" s="55"/>
    </row>
    <row r="24" spans="1:14" ht="12.75">
      <c r="A24" s="6" t="s">
        <v>86</v>
      </c>
      <c r="B24" s="10" t="s">
        <v>87</v>
      </c>
      <c r="C24" s="11">
        <f>25</f>
        <v>25</v>
      </c>
      <c r="D24" s="11">
        <f>29</f>
        <v>29</v>
      </c>
      <c r="E24" s="23">
        <f t="shared" si="0"/>
        <v>54</v>
      </c>
      <c r="F24" s="5">
        <f t="shared" si="2"/>
        <v>0.05299313052011776</v>
      </c>
      <c r="G24" s="6">
        <f>12</f>
        <v>12</v>
      </c>
      <c r="H24" s="5">
        <f t="shared" si="3"/>
        <v>0.04</v>
      </c>
      <c r="I24" s="6">
        <f>178</f>
        <v>178</v>
      </c>
      <c r="J24" s="5">
        <f t="shared" si="4"/>
        <v>0.07373653686826843</v>
      </c>
      <c r="K24" s="15">
        <f t="shared" si="1"/>
        <v>0.055576555796128725</v>
      </c>
      <c r="L24" s="119"/>
      <c r="M24" s="123">
        <f t="shared" si="5"/>
        <v>3139.6092707924995</v>
      </c>
      <c r="N24" s="55"/>
    </row>
    <row r="25" spans="1:14" ht="12.75">
      <c r="A25" s="6" t="s">
        <v>88</v>
      </c>
      <c r="B25" s="10" t="s">
        <v>89</v>
      </c>
      <c r="C25" s="11">
        <f>2</f>
        <v>2</v>
      </c>
      <c r="D25" s="11">
        <f>3</f>
        <v>3</v>
      </c>
      <c r="E25" s="23">
        <f t="shared" si="0"/>
        <v>5</v>
      </c>
      <c r="F25" s="5">
        <f t="shared" si="2"/>
        <v>0.004906771344455349</v>
      </c>
      <c r="H25" s="5">
        <f t="shared" si="3"/>
        <v>0</v>
      </c>
      <c r="I25" s="6">
        <f>213</f>
        <v>213</v>
      </c>
      <c r="J25" s="5">
        <f t="shared" si="4"/>
        <v>0.08823529411764706</v>
      </c>
      <c r="K25" s="15">
        <f t="shared" si="1"/>
        <v>0.031047355154034135</v>
      </c>
      <c r="L25" s="119"/>
      <c r="M25" s="123">
        <f t="shared" si="5"/>
        <v>1753.9151658257806</v>
      </c>
      <c r="N25" s="55"/>
    </row>
    <row r="26" spans="1:14" ht="12.75">
      <c r="A26" s="6" t="s">
        <v>90</v>
      </c>
      <c r="B26" s="10" t="s">
        <v>91</v>
      </c>
      <c r="E26" s="23">
        <f t="shared" si="0"/>
        <v>0</v>
      </c>
      <c r="F26" s="5">
        <f t="shared" si="2"/>
        <v>0</v>
      </c>
      <c r="G26" s="6">
        <f>2</f>
        <v>2</v>
      </c>
      <c r="H26" s="5">
        <f t="shared" si="3"/>
        <v>0.006666666666666667</v>
      </c>
      <c r="I26" s="6">
        <f>58</f>
        <v>58</v>
      </c>
      <c r="J26" s="5">
        <f t="shared" si="4"/>
        <v>0.024026512013256007</v>
      </c>
      <c r="K26" s="15">
        <f t="shared" si="1"/>
        <v>0.010231059559974226</v>
      </c>
      <c r="L26" s="119"/>
      <c r="M26" s="123">
        <f t="shared" si="5"/>
        <v>577.9690551958023</v>
      </c>
      <c r="N26" s="55"/>
    </row>
    <row r="27" spans="1:14" ht="12.75">
      <c r="A27" s="6" t="s">
        <v>92</v>
      </c>
      <c r="B27" s="10" t="s">
        <v>93</v>
      </c>
      <c r="D27" s="11">
        <f>2</f>
        <v>2</v>
      </c>
      <c r="E27" s="23">
        <f t="shared" si="0"/>
        <v>2</v>
      </c>
      <c r="F27" s="5">
        <f t="shared" si="2"/>
        <v>0.001962708537782139</v>
      </c>
      <c r="G27" s="6">
        <f>2</f>
        <v>2</v>
      </c>
      <c r="H27" s="5">
        <f t="shared" si="3"/>
        <v>0.006666666666666667</v>
      </c>
      <c r="I27" s="6">
        <f>6</f>
        <v>6</v>
      </c>
      <c r="J27" s="5">
        <f t="shared" si="4"/>
        <v>0.0024855012427506215</v>
      </c>
      <c r="K27" s="15">
        <f t="shared" si="1"/>
        <v>0.0037049588157331424</v>
      </c>
      <c r="L27" s="119"/>
      <c r="M27" s="123">
        <f t="shared" si="5"/>
        <v>209.2990988583432</v>
      </c>
      <c r="N27" s="55"/>
    </row>
    <row r="28" spans="1:14" ht="12.75">
      <c r="A28" s="9" t="s">
        <v>94</v>
      </c>
      <c r="B28" s="10" t="s">
        <v>95</v>
      </c>
      <c r="C28" s="11">
        <f>2</f>
        <v>2</v>
      </c>
      <c r="D28" s="11">
        <f>1</f>
        <v>1</v>
      </c>
      <c r="E28" s="23">
        <f t="shared" si="0"/>
        <v>3</v>
      </c>
      <c r="F28" s="5">
        <f t="shared" si="2"/>
        <v>0.002944062806673209</v>
      </c>
      <c r="G28" s="6">
        <f>9</f>
        <v>9</v>
      </c>
      <c r="H28" s="5">
        <f t="shared" si="3"/>
        <v>0.03</v>
      </c>
      <c r="I28" s="6">
        <f>17</f>
        <v>17</v>
      </c>
      <c r="J28" s="5">
        <f t="shared" si="4"/>
        <v>0.007042253521126761</v>
      </c>
      <c r="K28" s="15">
        <f t="shared" si="1"/>
        <v>0.013328772109266656</v>
      </c>
      <c r="L28" s="119"/>
      <c r="M28" s="123">
        <f t="shared" si="5"/>
        <v>752.9638330961311</v>
      </c>
      <c r="N28" s="55"/>
    </row>
    <row r="29" spans="1:14" ht="12.75">
      <c r="A29" s="6" t="s">
        <v>96</v>
      </c>
      <c r="B29" s="10" t="s">
        <v>97</v>
      </c>
      <c r="C29" s="11">
        <f>16</f>
        <v>16</v>
      </c>
      <c r="D29" s="11">
        <f>9</f>
        <v>9</v>
      </c>
      <c r="E29" s="23">
        <f t="shared" si="0"/>
        <v>25</v>
      </c>
      <c r="F29" s="5">
        <f t="shared" si="2"/>
        <v>0.02453385672227674</v>
      </c>
      <c r="H29" s="5">
        <f t="shared" si="3"/>
        <v>0</v>
      </c>
      <c r="I29" s="6">
        <f>193</f>
        <v>193</v>
      </c>
      <c r="J29" s="5">
        <f t="shared" si="4"/>
        <v>0.07995028997514499</v>
      </c>
      <c r="K29" s="15">
        <f t="shared" si="1"/>
        <v>0.034828048899140575</v>
      </c>
      <c r="L29" s="119"/>
      <c r="M29" s="123">
        <f t="shared" si="5"/>
        <v>1967.4926529897155</v>
      </c>
      <c r="N29" s="55"/>
    </row>
    <row r="30" spans="1:14" ht="12.75">
      <c r="A30" s="9" t="s">
        <v>98</v>
      </c>
      <c r="B30" s="10" t="s">
        <v>99</v>
      </c>
      <c r="E30" s="23">
        <f t="shared" si="0"/>
        <v>0</v>
      </c>
      <c r="F30" s="5">
        <f t="shared" si="2"/>
        <v>0</v>
      </c>
      <c r="G30" s="6">
        <f>2</f>
        <v>2</v>
      </c>
      <c r="H30" s="5">
        <f t="shared" si="3"/>
        <v>0.006666666666666667</v>
      </c>
      <c r="J30" s="5">
        <f t="shared" si="4"/>
        <v>0</v>
      </c>
      <c r="K30" s="15">
        <f t="shared" si="1"/>
        <v>0.0022222222222222222</v>
      </c>
      <c r="L30" s="119"/>
      <c r="M30" s="123">
        <f t="shared" si="5"/>
        <v>125.53691733333332</v>
      </c>
      <c r="N30" s="55"/>
    </row>
    <row r="31" spans="1:14" ht="13.5" thickBot="1">
      <c r="A31" s="24" t="s">
        <v>100</v>
      </c>
      <c r="C31" s="24">
        <f aca="true" t="shared" si="6" ref="C31:K31">SUM(C7:C30)</f>
        <v>316</v>
      </c>
      <c r="D31" s="24">
        <f t="shared" si="6"/>
        <v>703</v>
      </c>
      <c r="E31" s="24">
        <f t="shared" si="6"/>
        <v>1019</v>
      </c>
      <c r="F31" s="25">
        <f t="shared" si="6"/>
        <v>0.9999999999999999</v>
      </c>
      <c r="G31" s="24">
        <f t="shared" si="6"/>
        <v>300</v>
      </c>
      <c r="H31" s="25">
        <f t="shared" si="6"/>
        <v>1.0000000000000002</v>
      </c>
      <c r="I31" s="24">
        <f t="shared" si="6"/>
        <v>2414</v>
      </c>
      <c r="J31" s="25">
        <f t="shared" si="6"/>
        <v>1.0000000000000002</v>
      </c>
      <c r="K31" s="25">
        <f t="shared" si="6"/>
        <v>1.0000000000000002</v>
      </c>
      <c r="L31" s="131"/>
      <c r="M31" s="133">
        <v>56491.612799999995</v>
      </c>
      <c r="N31" s="75"/>
    </row>
    <row r="33" ht="12.75">
      <c r="M33" s="134">
        <f>SUM(M7:M30)</f>
        <v>56491.612799999995</v>
      </c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pane xSplit="1" ySplit="5" topLeftCell="B6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35.00390625" style="9" bestFit="1" customWidth="1"/>
    <col min="2" max="2" width="16.57421875" style="10" hidden="1" customWidth="1"/>
    <col min="3" max="4" width="4.00390625" style="11" hidden="1" customWidth="1"/>
    <col min="5" max="5" width="7.28125" style="4" hidden="1" customWidth="1"/>
    <col min="6" max="6" width="7.28125" style="5" hidden="1" customWidth="1"/>
    <col min="7" max="7" width="11.7109375" style="6" hidden="1" customWidth="1"/>
    <col min="8" max="8" width="7.28125" style="5" hidden="1" customWidth="1"/>
    <col min="9" max="9" width="15.00390625" style="6" hidden="1" customWidth="1"/>
    <col min="10" max="10" width="7.00390625" style="5" hidden="1" customWidth="1"/>
    <col min="11" max="11" width="8.57421875" style="7" hidden="1" customWidth="1"/>
    <col min="12" max="12" width="6.7109375" style="9" customWidth="1"/>
    <col min="13" max="13" width="9.7109375" style="9" customWidth="1"/>
    <col min="14" max="14" width="6.7109375" style="9" customWidth="1"/>
    <col min="15" max="16384" width="6.8515625" style="9" customWidth="1"/>
  </cols>
  <sheetData>
    <row r="1" spans="1:4" ht="12.75" customHeight="1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3.5" thickBot="1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101</v>
      </c>
      <c r="B6" s="2"/>
      <c r="C6" s="3"/>
      <c r="D6" s="3"/>
      <c r="K6" s="15"/>
      <c r="L6" s="128"/>
      <c r="M6" s="129"/>
      <c r="N6" s="130"/>
    </row>
    <row r="7" spans="1:14" ht="12.75">
      <c r="A7" s="9" t="s">
        <v>102</v>
      </c>
      <c r="B7" s="10" t="s">
        <v>103</v>
      </c>
      <c r="C7" s="11">
        <f>23</f>
        <v>23</v>
      </c>
      <c r="D7" s="11">
        <f>29</f>
        <v>29</v>
      </c>
      <c r="E7" s="23">
        <f aca="true" t="shared" si="0" ref="E7:E20">C7+D7</f>
        <v>52</v>
      </c>
      <c r="F7" s="5">
        <f>+E7/$E$21</f>
        <v>0.30409356725146197</v>
      </c>
      <c r="G7" s="6">
        <f>4+1+1+1+1+1+2</f>
        <v>11</v>
      </c>
      <c r="H7" s="5">
        <f>+G7/$G$21</f>
        <v>0.04954954954954955</v>
      </c>
      <c r="I7" s="6">
        <f>37</f>
        <v>37</v>
      </c>
      <c r="J7" s="5">
        <f>+I7/$I$21</f>
        <v>0.02115494568324757</v>
      </c>
      <c r="K7" s="15">
        <f aca="true" t="shared" si="1" ref="K7:K21">+(F7+H7+J7)/3</f>
        <v>0.12493268749475302</v>
      </c>
      <c r="L7" s="119"/>
      <c r="M7" s="123">
        <f>K7*$M$21</f>
        <v>3759.8784893900033</v>
      </c>
      <c r="N7" s="55"/>
    </row>
    <row r="8" spans="1:14" ht="12.75">
      <c r="A8" s="9" t="s">
        <v>104</v>
      </c>
      <c r="B8" s="10" t="s">
        <v>105</v>
      </c>
      <c r="E8" s="23">
        <f t="shared" si="0"/>
        <v>0</v>
      </c>
      <c r="F8" s="5">
        <f aca="true" t="shared" si="2" ref="F8:F20">+E8/$E$21</f>
        <v>0</v>
      </c>
      <c r="G8" s="6">
        <f>24</f>
        <v>24</v>
      </c>
      <c r="H8" s="5">
        <f aca="true" t="shared" si="3" ref="H8:H20">+G8/$G$21</f>
        <v>0.10810810810810811</v>
      </c>
      <c r="I8" s="6">
        <f>109</f>
        <v>109</v>
      </c>
      <c r="J8" s="5">
        <f aca="true" t="shared" si="4" ref="J8:J20">+I8/$I$21</f>
        <v>0.062321326472269865</v>
      </c>
      <c r="K8" s="15">
        <f t="shared" si="1"/>
        <v>0.05680981152679266</v>
      </c>
      <c r="L8" s="119"/>
      <c r="M8" s="123">
        <f aca="true" t="shared" si="5" ref="M8:M20">K8*$M$21</f>
        <v>1709.7045827566847</v>
      </c>
      <c r="N8" s="55"/>
    </row>
    <row r="9" spans="1:14" ht="12.75">
      <c r="A9" s="9" t="s">
        <v>106</v>
      </c>
      <c r="B9" s="10" t="s">
        <v>107</v>
      </c>
      <c r="E9" s="23">
        <f t="shared" si="0"/>
        <v>0</v>
      </c>
      <c r="F9" s="5">
        <f t="shared" si="2"/>
        <v>0</v>
      </c>
      <c r="G9" s="6">
        <f>69</f>
        <v>69</v>
      </c>
      <c r="H9" s="5">
        <f t="shared" si="3"/>
        <v>0.3108108108108108</v>
      </c>
      <c r="I9" s="6">
        <f>118</f>
        <v>118</v>
      </c>
      <c r="J9" s="5">
        <f t="shared" si="4"/>
        <v>0.06746712407089765</v>
      </c>
      <c r="K9" s="15">
        <f t="shared" si="1"/>
        <v>0.1260926449605695</v>
      </c>
      <c r="L9" s="119"/>
      <c r="M9" s="123">
        <f t="shared" si="5"/>
        <v>3794.7876809857885</v>
      </c>
      <c r="N9" s="55"/>
    </row>
    <row r="10" spans="1:14" ht="12.75">
      <c r="A10" s="9" t="s">
        <v>74</v>
      </c>
      <c r="B10" s="26" t="s">
        <v>108</v>
      </c>
      <c r="C10" s="27">
        <f>4</f>
        <v>4</v>
      </c>
      <c r="D10" s="27">
        <f>3</f>
        <v>3</v>
      </c>
      <c r="E10" s="23">
        <f t="shared" si="0"/>
        <v>7</v>
      </c>
      <c r="F10" s="5">
        <f t="shared" si="2"/>
        <v>0.04093567251461988</v>
      </c>
      <c r="H10" s="5">
        <f t="shared" si="3"/>
        <v>0</v>
      </c>
      <c r="I10" s="6">
        <f>23+26+81+3</f>
        <v>133</v>
      </c>
      <c r="J10" s="5">
        <f t="shared" si="4"/>
        <v>0.07604345340194396</v>
      </c>
      <c r="K10" s="15">
        <f t="shared" si="1"/>
        <v>0.03899304197218795</v>
      </c>
      <c r="L10" s="119"/>
      <c r="M10" s="123">
        <f t="shared" si="5"/>
        <v>1173.5047303234262</v>
      </c>
      <c r="N10" s="55"/>
    </row>
    <row r="11" spans="1:14" ht="12.75">
      <c r="A11" s="9" t="s">
        <v>109</v>
      </c>
      <c r="B11" s="10" t="s">
        <v>110</v>
      </c>
      <c r="C11" s="11">
        <f>1</f>
        <v>1</v>
      </c>
      <c r="E11" s="23">
        <f t="shared" si="0"/>
        <v>1</v>
      </c>
      <c r="F11" s="5">
        <f t="shared" si="2"/>
        <v>0.005847953216374269</v>
      </c>
      <c r="G11" s="6">
        <f>49</f>
        <v>49</v>
      </c>
      <c r="H11" s="5">
        <f t="shared" si="3"/>
        <v>0.22072072072072071</v>
      </c>
      <c r="I11" s="6">
        <f>661</f>
        <v>661</v>
      </c>
      <c r="J11" s="5">
        <f t="shared" si="4"/>
        <v>0.37793024585477414</v>
      </c>
      <c r="K11" s="15">
        <f t="shared" si="1"/>
        <v>0.20149963993062303</v>
      </c>
      <c r="L11" s="119"/>
      <c r="M11" s="123">
        <f t="shared" si="5"/>
        <v>6064.178854927772</v>
      </c>
      <c r="N11" s="55"/>
    </row>
    <row r="12" spans="1:14" ht="12.75">
      <c r="A12" s="9" t="s">
        <v>111</v>
      </c>
      <c r="B12" s="10" t="s">
        <v>112</v>
      </c>
      <c r="C12" s="11">
        <f>7</f>
        <v>7</v>
      </c>
      <c r="D12" s="11">
        <f>80</f>
        <v>80</v>
      </c>
      <c r="E12" s="23">
        <f t="shared" si="0"/>
        <v>87</v>
      </c>
      <c r="F12" s="5">
        <f t="shared" si="2"/>
        <v>0.5087719298245614</v>
      </c>
      <c r="G12" s="6">
        <f>65</f>
        <v>65</v>
      </c>
      <c r="H12" s="5">
        <f t="shared" si="3"/>
        <v>0.2927927927927928</v>
      </c>
      <c r="I12" s="6">
        <f>171</f>
        <v>171</v>
      </c>
      <c r="J12" s="5">
        <f t="shared" si="4"/>
        <v>0.09777015437392796</v>
      </c>
      <c r="K12" s="15">
        <f t="shared" si="1"/>
        <v>0.2997782923304274</v>
      </c>
      <c r="L12" s="119"/>
      <c r="M12" s="123">
        <f t="shared" si="5"/>
        <v>9021.897915760277</v>
      </c>
      <c r="N12" s="55"/>
    </row>
    <row r="13" spans="1:14" ht="12.75">
      <c r="A13" s="9" t="s">
        <v>113</v>
      </c>
      <c r="B13" s="10" t="s">
        <v>114</v>
      </c>
      <c r="E13" s="23">
        <f t="shared" si="0"/>
        <v>0</v>
      </c>
      <c r="F13" s="5">
        <f t="shared" si="2"/>
        <v>0</v>
      </c>
      <c r="G13" s="6">
        <f>3</f>
        <v>3</v>
      </c>
      <c r="H13" s="5">
        <f t="shared" si="3"/>
        <v>0.013513513513513514</v>
      </c>
      <c r="I13" s="6">
        <f>14</f>
        <v>14</v>
      </c>
      <c r="J13" s="5">
        <f t="shared" si="4"/>
        <v>0.008004574042309892</v>
      </c>
      <c r="K13" s="15">
        <f t="shared" si="1"/>
        <v>0.0071726958519411355</v>
      </c>
      <c r="L13" s="119"/>
      <c r="M13" s="123">
        <f t="shared" si="5"/>
        <v>215.86396150953698</v>
      </c>
      <c r="N13" s="55"/>
    </row>
    <row r="14" spans="1:14" ht="12.75">
      <c r="A14" s="9" t="s">
        <v>115</v>
      </c>
      <c r="B14" s="10" t="s">
        <v>116</v>
      </c>
      <c r="C14" s="11">
        <f>5</f>
        <v>5</v>
      </c>
      <c r="D14" s="11">
        <f>5</f>
        <v>5</v>
      </c>
      <c r="E14" s="23">
        <f t="shared" si="0"/>
        <v>10</v>
      </c>
      <c r="F14" s="5">
        <f t="shared" si="2"/>
        <v>0.05847953216374269</v>
      </c>
      <c r="H14" s="5">
        <f t="shared" si="3"/>
        <v>0</v>
      </c>
      <c r="I14" s="6">
        <f>93</f>
        <v>93</v>
      </c>
      <c r="J14" s="5">
        <f t="shared" si="4"/>
        <v>0.05317324185248713</v>
      </c>
      <c r="K14" s="15">
        <f t="shared" si="1"/>
        <v>0.03721759133874327</v>
      </c>
      <c r="L14" s="119"/>
      <c r="M14" s="123">
        <f t="shared" si="5"/>
        <v>1120.0721276993702</v>
      </c>
      <c r="N14" s="55"/>
    </row>
    <row r="15" spans="1:14" ht="12.75">
      <c r="A15" s="9" t="s">
        <v>117</v>
      </c>
      <c r="B15" s="10" t="s">
        <v>118</v>
      </c>
      <c r="E15" s="23">
        <f t="shared" si="0"/>
        <v>0</v>
      </c>
      <c r="F15" s="5">
        <f t="shared" si="2"/>
        <v>0</v>
      </c>
      <c r="H15" s="5">
        <f t="shared" si="3"/>
        <v>0</v>
      </c>
      <c r="I15" s="6">
        <f>3</f>
        <v>3</v>
      </c>
      <c r="J15" s="5">
        <f t="shared" si="4"/>
        <v>0.0017152658662092624</v>
      </c>
      <c r="K15" s="15">
        <f t="shared" si="1"/>
        <v>0.0005717552887364208</v>
      </c>
      <c r="L15" s="119"/>
      <c r="M15" s="123">
        <f t="shared" si="5"/>
        <v>17.207109319611206</v>
      </c>
      <c r="N15" s="55"/>
    </row>
    <row r="16" spans="1:14" ht="12.75">
      <c r="A16" s="9" t="s">
        <v>119</v>
      </c>
      <c r="B16" s="10" t="s">
        <v>120</v>
      </c>
      <c r="E16" s="23">
        <f t="shared" si="0"/>
        <v>0</v>
      </c>
      <c r="F16" s="5">
        <f t="shared" si="2"/>
        <v>0</v>
      </c>
      <c r="H16" s="5">
        <f t="shared" si="3"/>
        <v>0</v>
      </c>
      <c r="I16" s="6">
        <f>17</f>
        <v>17</v>
      </c>
      <c r="J16" s="5">
        <f t="shared" si="4"/>
        <v>0.009719839908519153</v>
      </c>
      <c r="K16" s="15">
        <f t="shared" si="1"/>
        <v>0.003239946636173051</v>
      </c>
      <c r="L16" s="119"/>
      <c r="M16" s="123">
        <f t="shared" si="5"/>
        <v>97.50695281113016</v>
      </c>
      <c r="N16" s="55"/>
    </row>
    <row r="17" spans="1:14" ht="12.75">
      <c r="A17" s="9" t="s">
        <v>121</v>
      </c>
      <c r="B17" s="10" t="s">
        <v>122</v>
      </c>
      <c r="E17" s="23">
        <f t="shared" si="0"/>
        <v>0</v>
      </c>
      <c r="F17" s="5">
        <f t="shared" si="2"/>
        <v>0</v>
      </c>
      <c r="H17" s="5">
        <f t="shared" si="3"/>
        <v>0</v>
      </c>
      <c r="I17" s="6">
        <f>7</f>
        <v>7</v>
      </c>
      <c r="J17" s="5">
        <f t="shared" si="4"/>
        <v>0.004002287021154946</v>
      </c>
      <c r="K17" s="15">
        <f t="shared" si="1"/>
        <v>0.0013340956737183153</v>
      </c>
      <c r="L17" s="119"/>
      <c r="M17" s="123">
        <f t="shared" si="5"/>
        <v>40.149921745759485</v>
      </c>
      <c r="N17" s="55"/>
    </row>
    <row r="18" spans="1:14" ht="12.75">
      <c r="A18" s="9" t="s">
        <v>123</v>
      </c>
      <c r="B18" s="10" t="s">
        <v>124</v>
      </c>
      <c r="E18" s="23">
        <f t="shared" si="0"/>
        <v>0</v>
      </c>
      <c r="F18" s="5">
        <f t="shared" si="2"/>
        <v>0</v>
      </c>
      <c r="H18" s="5">
        <f t="shared" si="3"/>
        <v>0</v>
      </c>
      <c r="I18" s="6">
        <f>82</f>
        <v>82</v>
      </c>
      <c r="J18" s="5">
        <f t="shared" si="4"/>
        <v>0.046883933676386505</v>
      </c>
      <c r="K18" s="15">
        <f t="shared" si="1"/>
        <v>0.015627977892128834</v>
      </c>
      <c r="L18" s="119"/>
      <c r="M18" s="123">
        <f t="shared" si="5"/>
        <v>470.32765473603956</v>
      </c>
      <c r="N18" s="55"/>
    </row>
    <row r="19" spans="1:14" ht="12.75">
      <c r="A19" s="9" t="s">
        <v>125</v>
      </c>
      <c r="B19" s="10" t="s">
        <v>126</v>
      </c>
      <c r="E19" s="23">
        <f t="shared" si="0"/>
        <v>0</v>
      </c>
      <c r="F19" s="5">
        <f t="shared" si="2"/>
        <v>0</v>
      </c>
      <c r="H19" s="5">
        <f t="shared" si="3"/>
        <v>0</v>
      </c>
      <c r="I19" s="6">
        <f>3</f>
        <v>3</v>
      </c>
      <c r="J19" s="5">
        <f t="shared" si="4"/>
        <v>0.0017152658662092624</v>
      </c>
      <c r="K19" s="15">
        <f t="shared" si="1"/>
        <v>0.0005717552887364208</v>
      </c>
      <c r="L19" s="119"/>
      <c r="M19" s="123">
        <f t="shared" si="5"/>
        <v>17.207109319611206</v>
      </c>
      <c r="N19" s="55"/>
    </row>
    <row r="20" spans="1:14" ht="12.75">
      <c r="A20" s="9" t="s">
        <v>127</v>
      </c>
      <c r="B20" s="10" t="s">
        <v>128</v>
      </c>
      <c r="C20" s="11">
        <f>7</f>
        <v>7</v>
      </c>
      <c r="D20" s="11">
        <f>7</f>
        <v>7</v>
      </c>
      <c r="E20" s="23">
        <f t="shared" si="0"/>
        <v>14</v>
      </c>
      <c r="F20" s="5">
        <f t="shared" si="2"/>
        <v>0.08187134502923976</v>
      </c>
      <c r="G20" s="6">
        <f>1</f>
        <v>1</v>
      </c>
      <c r="H20" s="5">
        <f t="shared" si="3"/>
        <v>0.0045045045045045045</v>
      </c>
      <c r="I20" s="6">
        <v>301</v>
      </c>
      <c r="J20" s="5">
        <f t="shared" si="4"/>
        <v>0.17209834190966267</v>
      </c>
      <c r="K20" s="15">
        <f t="shared" si="1"/>
        <v>0.08615806381446899</v>
      </c>
      <c r="L20" s="119"/>
      <c r="M20" s="123">
        <f t="shared" si="5"/>
        <v>2592.9471087149896</v>
      </c>
      <c r="N20" s="55"/>
    </row>
    <row r="21" spans="1:14" ht="13.5" thickBot="1">
      <c r="A21" s="24" t="s">
        <v>129</v>
      </c>
      <c r="B21" s="28"/>
      <c r="C21" s="24">
        <f aca="true" t="shared" si="6" ref="C21:J21">SUM(C7:C20)</f>
        <v>47</v>
      </c>
      <c r="D21" s="24">
        <f t="shared" si="6"/>
        <v>124</v>
      </c>
      <c r="E21" s="24">
        <f t="shared" si="6"/>
        <v>171</v>
      </c>
      <c r="F21" s="25">
        <f t="shared" si="6"/>
        <v>1</v>
      </c>
      <c r="G21" s="1">
        <f t="shared" si="6"/>
        <v>222</v>
      </c>
      <c r="H21" s="25">
        <f t="shared" si="6"/>
        <v>0.9999999999999999</v>
      </c>
      <c r="I21" s="1">
        <f t="shared" si="6"/>
        <v>1749</v>
      </c>
      <c r="J21" s="25">
        <f t="shared" si="6"/>
        <v>1</v>
      </c>
      <c r="K21" s="15">
        <f t="shared" si="1"/>
        <v>1</v>
      </c>
      <c r="L21" s="131"/>
      <c r="M21" s="133">
        <v>30095.2342</v>
      </c>
      <c r="N21" s="75"/>
    </row>
    <row r="23" ht="12.75">
      <c r="M23" s="136">
        <f>SUM(M6:M20)</f>
        <v>30095.234200000003</v>
      </c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pane xSplit="1" ySplit="5" topLeftCell="L84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40.8515625" style="9" bestFit="1" customWidth="1"/>
    <col min="2" max="2" width="8.140625" style="10" hidden="1" customWidth="1"/>
    <col min="3" max="3" width="5.00390625" style="11" hidden="1" customWidth="1"/>
    <col min="4" max="4" width="4.00390625" style="11" hidden="1" customWidth="1"/>
    <col min="5" max="5" width="7.28125" style="4" hidden="1" customWidth="1"/>
    <col min="6" max="6" width="7.28125" style="5" hidden="1" customWidth="1"/>
    <col min="7" max="7" width="11.7109375" style="6" hidden="1" customWidth="1"/>
    <col min="8" max="8" width="7.00390625" style="5" hidden="1" customWidth="1"/>
    <col min="9" max="9" width="15.00390625" style="6" hidden="1" customWidth="1"/>
    <col min="10" max="10" width="7.00390625" style="5" hidden="1" customWidth="1"/>
    <col min="11" max="11" width="8.57421875" style="7" hidden="1" customWidth="1"/>
    <col min="12" max="12" width="6.7109375" style="9" customWidth="1"/>
    <col min="13" max="13" width="9.7109375" style="9" customWidth="1"/>
    <col min="14" max="14" width="6.7109375" style="9" customWidth="1"/>
    <col min="15" max="16384" width="6.8515625" style="9" customWidth="1"/>
  </cols>
  <sheetData>
    <row r="1" spans="1:4" ht="12.75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2.75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298</v>
      </c>
      <c r="B6" s="2"/>
      <c r="C6" s="3"/>
      <c r="D6" s="3"/>
      <c r="L6" s="119"/>
      <c r="M6" s="120"/>
      <c r="N6" s="55"/>
    </row>
    <row r="7" spans="1:14" ht="12.75">
      <c r="A7" s="9" t="s">
        <v>299</v>
      </c>
      <c r="B7" s="10" t="s">
        <v>300</v>
      </c>
      <c r="C7" s="11">
        <f>5</f>
        <v>5</v>
      </c>
      <c r="D7" s="11">
        <f>6</f>
        <v>6</v>
      </c>
      <c r="E7" s="23">
        <f aca="true" t="shared" si="0" ref="E7:E38">C7+D7</f>
        <v>11</v>
      </c>
      <c r="F7" s="5">
        <f>+E7/E$92</f>
        <v>0.0019207263837960537</v>
      </c>
      <c r="G7" s="6">
        <f>19</f>
        <v>19</v>
      </c>
      <c r="H7" s="5">
        <f>+G7/G$92</f>
        <v>0.015347334410339256</v>
      </c>
      <c r="I7" s="6">
        <f>61</f>
        <v>61</v>
      </c>
      <c r="J7" s="5">
        <f>+I7/I$92</f>
        <v>0.008923346986541836</v>
      </c>
      <c r="K7" s="15">
        <f aca="true" t="shared" si="1" ref="K7:K38">+(F7+H7+J7)/3</f>
        <v>0.008730469260225715</v>
      </c>
      <c r="L7" s="119"/>
      <c r="M7" s="123">
        <f>K7*$M$92</f>
        <v>2070.4053174106493</v>
      </c>
      <c r="N7" s="55"/>
    </row>
    <row r="8" spans="1:14" ht="12.75">
      <c r="A8" s="9" t="s">
        <v>301</v>
      </c>
      <c r="B8" s="10" t="s">
        <v>302</v>
      </c>
      <c r="E8" s="23">
        <f t="shared" si="0"/>
        <v>0</v>
      </c>
      <c r="F8" s="5">
        <f aca="true" t="shared" si="2" ref="F8:F71">+E8/E$92</f>
        <v>0</v>
      </c>
      <c r="H8" s="5">
        <f aca="true" t="shared" si="3" ref="H8:H71">+G8/G$92</f>
        <v>0</v>
      </c>
      <c r="I8" s="6">
        <f>21</f>
        <v>21</v>
      </c>
      <c r="J8" s="5">
        <f aca="true" t="shared" si="4" ref="J8:J71">+I8/I$92</f>
        <v>0.003071971913399649</v>
      </c>
      <c r="K8" s="15">
        <f t="shared" si="1"/>
        <v>0.001023990637799883</v>
      </c>
      <c r="L8" s="119"/>
      <c r="M8" s="123">
        <f aca="true" t="shared" si="5" ref="M8:M71">K8*$M$92</f>
        <v>242.83639267115274</v>
      </c>
      <c r="N8" s="55"/>
    </row>
    <row r="9" spans="1:14" ht="12.75">
      <c r="A9" s="9" t="s">
        <v>303</v>
      </c>
      <c r="B9" s="10" t="s">
        <v>304</v>
      </c>
      <c r="E9" s="23">
        <f t="shared" si="0"/>
        <v>0</v>
      </c>
      <c r="F9" s="5">
        <f t="shared" si="2"/>
        <v>0</v>
      </c>
      <c r="G9" s="6">
        <v>3</v>
      </c>
      <c r="H9" s="5">
        <f t="shared" si="3"/>
        <v>0.0024232633279483036</v>
      </c>
      <c r="I9" s="6">
        <f>14</f>
        <v>14</v>
      </c>
      <c r="J9" s="5">
        <f t="shared" si="4"/>
        <v>0.002047981275599766</v>
      </c>
      <c r="K9" s="15">
        <f t="shared" si="1"/>
        <v>0.0014904148678493566</v>
      </c>
      <c r="L9" s="119"/>
      <c r="M9" s="123">
        <f t="shared" si="5"/>
        <v>353.4475382212639</v>
      </c>
      <c r="N9" s="55"/>
    </row>
    <row r="10" spans="1:14" ht="12.75">
      <c r="A10" s="9" t="s">
        <v>305</v>
      </c>
      <c r="B10" s="10" t="s">
        <v>306</v>
      </c>
      <c r="E10" s="23">
        <f t="shared" si="0"/>
        <v>0</v>
      </c>
      <c r="F10" s="5">
        <f t="shared" si="2"/>
        <v>0</v>
      </c>
      <c r="H10" s="5">
        <f t="shared" si="3"/>
        <v>0</v>
      </c>
      <c r="I10" s="6">
        <f>43</f>
        <v>43</v>
      </c>
      <c r="J10" s="5">
        <f t="shared" si="4"/>
        <v>0.0062902282036278526</v>
      </c>
      <c r="K10" s="15">
        <f t="shared" si="1"/>
        <v>0.0020967427345426177</v>
      </c>
      <c r="L10" s="119"/>
      <c r="M10" s="123">
        <f t="shared" si="5"/>
        <v>497.23642308855085</v>
      </c>
      <c r="N10" s="55"/>
    </row>
    <row r="11" spans="1:14" ht="12.75">
      <c r="A11" s="9" t="s">
        <v>307</v>
      </c>
      <c r="B11" s="10" t="s">
        <v>308</v>
      </c>
      <c r="E11" s="23">
        <f t="shared" si="0"/>
        <v>0</v>
      </c>
      <c r="F11" s="5">
        <f t="shared" si="2"/>
        <v>0</v>
      </c>
      <c r="H11" s="5">
        <f t="shared" si="3"/>
        <v>0</v>
      </c>
      <c r="I11" s="6">
        <f>62</f>
        <v>62</v>
      </c>
      <c r="J11" s="5">
        <f t="shared" si="4"/>
        <v>0.009069631363370393</v>
      </c>
      <c r="K11" s="15">
        <f t="shared" si="1"/>
        <v>0.0030232104544567974</v>
      </c>
      <c r="L11" s="119"/>
      <c r="M11" s="123">
        <f t="shared" si="5"/>
        <v>716.9455402672129</v>
      </c>
      <c r="N11" s="55"/>
    </row>
    <row r="12" spans="1:14" ht="12.75">
      <c r="A12" s="9" t="s">
        <v>309</v>
      </c>
      <c r="B12" s="10" t="s">
        <v>310</v>
      </c>
      <c r="D12" s="11">
        <f>1</f>
        <v>1</v>
      </c>
      <c r="E12" s="23">
        <f t="shared" si="0"/>
        <v>1</v>
      </c>
      <c r="F12" s="5">
        <f t="shared" si="2"/>
        <v>0.00017461148943600488</v>
      </c>
      <c r="G12" s="6">
        <f>16</f>
        <v>16</v>
      </c>
      <c r="H12" s="5">
        <f t="shared" si="3"/>
        <v>0.012924071082390954</v>
      </c>
      <c r="I12" s="6">
        <f>37</f>
        <v>37</v>
      </c>
      <c r="J12" s="5">
        <f t="shared" si="4"/>
        <v>0.005412521942656524</v>
      </c>
      <c r="K12" s="15">
        <f t="shared" si="1"/>
        <v>0.006170401504827828</v>
      </c>
      <c r="L12" s="119"/>
      <c r="M12" s="123">
        <f t="shared" si="5"/>
        <v>1463.2927171916897</v>
      </c>
      <c r="N12" s="55"/>
    </row>
    <row r="13" spans="1:14" ht="12.75">
      <c r="A13" s="9" t="s">
        <v>311</v>
      </c>
      <c r="B13" s="10" t="s">
        <v>312</v>
      </c>
      <c r="E13" s="23">
        <f t="shared" si="0"/>
        <v>0</v>
      </c>
      <c r="F13" s="5">
        <f t="shared" si="2"/>
        <v>0</v>
      </c>
      <c r="G13" s="6">
        <f>1</f>
        <v>1</v>
      </c>
      <c r="H13" s="5">
        <f t="shared" si="3"/>
        <v>0.0008077544426494346</v>
      </c>
      <c r="J13" s="5">
        <f t="shared" si="4"/>
        <v>0</v>
      </c>
      <c r="K13" s="15">
        <f t="shared" si="1"/>
        <v>0.00026925148088314486</v>
      </c>
      <c r="L13" s="119"/>
      <c r="M13" s="123">
        <f t="shared" si="5"/>
        <v>63.85220325794292</v>
      </c>
      <c r="N13" s="55"/>
    </row>
    <row r="14" spans="1:14" ht="12.75">
      <c r="A14" s="9" t="s">
        <v>313</v>
      </c>
      <c r="B14" s="10" t="s">
        <v>314</v>
      </c>
      <c r="C14" s="11">
        <f>524</f>
        <v>524</v>
      </c>
      <c r="D14" s="11">
        <v>117</v>
      </c>
      <c r="E14" s="23">
        <f t="shared" si="0"/>
        <v>641</v>
      </c>
      <c r="F14" s="5">
        <f t="shared" si="2"/>
        <v>0.11192596472847913</v>
      </c>
      <c r="G14" s="6">
        <f>4+2+7+1+189+4+1+1+1+1+3+4+180+5+3+1+1+6+1+2</f>
        <v>417</v>
      </c>
      <c r="H14" s="5">
        <f t="shared" si="3"/>
        <v>0.3368336025848142</v>
      </c>
      <c r="I14" s="6">
        <f>35+660</f>
        <v>695</v>
      </c>
      <c r="J14" s="5">
        <f t="shared" si="4"/>
        <v>0.10166764189584553</v>
      </c>
      <c r="K14" s="15">
        <f t="shared" si="1"/>
        <v>0.1834757364030463</v>
      </c>
      <c r="L14" s="119"/>
      <c r="M14" s="123">
        <f t="shared" si="5"/>
        <v>43510.73567091177</v>
      </c>
      <c r="N14" s="55"/>
    </row>
    <row r="15" spans="1:14" ht="12.75">
      <c r="A15" s="9" t="s">
        <v>315</v>
      </c>
      <c r="B15" s="10" t="s">
        <v>316</v>
      </c>
      <c r="E15" s="23">
        <f t="shared" si="0"/>
        <v>0</v>
      </c>
      <c r="F15" s="5">
        <f t="shared" si="2"/>
        <v>0</v>
      </c>
      <c r="G15" s="6">
        <f>13</f>
        <v>13</v>
      </c>
      <c r="H15" s="5">
        <f t="shared" si="3"/>
        <v>0.01050080775444265</v>
      </c>
      <c r="I15" s="6">
        <f>65</f>
        <v>65</v>
      </c>
      <c r="J15" s="5">
        <f t="shared" si="4"/>
        <v>0.009508484493856056</v>
      </c>
      <c r="K15" s="15">
        <f t="shared" si="1"/>
        <v>0.006669764082766236</v>
      </c>
      <c r="L15" s="119"/>
      <c r="M15" s="123">
        <f t="shared" si="5"/>
        <v>1581.715095859207</v>
      </c>
      <c r="N15" s="55"/>
    </row>
    <row r="16" spans="1:14" ht="12.75">
      <c r="A16" s="9" t="s">
        <v>317</v>
      </c>
      <c r="B16" s="10" t="s">
        <v>318</v>
      </c>
      <c r="E16" s="23">
        <f t="shared" si="0"/>
        <v>0</v>
      </c>
      <c r="F16" s="5">
        <f t="shared" si="2"/>
        <v>0</v>
      </c>
      <c r="H16" s="5">
        <f t="shared" si="3"/>
        <v>0</v>
      </c>
      <c r="I16" s="6">
        <f>4</f>
        <v>4</v>
      </c>
      <c r="J16" s="5">
        <f t="shared" si="4"/>
        <v>0.0005851375073142189</v>
      </c>
      <c r="K16" s="15">
        <f t="shared" si="1"/>
        <v>0.0001950458357714063</v>
      </c>
      <c r="L16" s="119"/>
      <c r="M16" s="123">
        <f t="shared" si="5"/>
        <v>46.25455098498148</v>
      </c>
      <c r="N16" s="55"/>
    </row>
    <row r="17" spans="1:14" ht="12.75">
      <c r="A17" s="9" t="s">
        <v>319</v>
      </c>
      <c r="B17" s="10" t="s">
        <v>320</v>
      </c>
      <c r="E17" s="23">
        <f t="shared" si="0"/>
        <v>0</v>
      </c>
      <c r="F17" s="5">
        <f t="shared" si="2"/>
        <v>0</v>
      </c>
      <c r="H17" s="5">
        <f t="shared" si="3"/>
        <v>0</v>
      </c>
      <c r="I17" s="6">
        <f>2</f>
        <v>2</v>
      </c>
      <c r="J17" s="5">
        <f t="shared" si="4"/>
        <v>0.0002925687536571094</v>
      </c>
      <c r="K17" s="15">
        <f t="shared" si="1"/>
        <v>9.752291788570315E-05</v>
      </c>
      <c r="L17" s="119"/>
      <c r="M17" s="123">
        <f t="shared" si="5"/>
        <v>23.12727549249074</v>
      </c>
      <c r="N17" s="55"/>
    </row>
    <row r="18" spans="1:14" ht="12.75">
      <c r="A18" s="9" t="s">
        <v>74</v>
      </c>
      <c r="B18" s="10" t="s">
        <v>321</v>
      </c>
      <c r="E18" s="23">
        <f t="shared" si="0"/>
        <v>0</v>
      </c>
      <c r="F18" s="5">
        <f t="shared" si="2"/>
        <v>0</v>
      </c>
      <c r="H18" s="5">
        <f t="shared" si="3"/>
        <v>0</v>
      </c>
      <c r="I18" s="6">
        <f>23</f>
        <v>23</v>
      </c>
      <c r="J18" s="5">
        <f t="shared" si="4"/>
        <v>0.0033645406670567584</v>
      </c>
      <c r="K18" s="15">
        <f t="shared" si="1"/>
        <v>0.001121513555685586</v>
      </c>
      <c r="L18" s="119"/>
      <c r="M18" s="123">
        <f t="shared" si="5"/>
        <v>265.96366816364343</v>
      </c>
      <c r="N18" s="55"/>
    </row>
    <row r="19" spans="1:14" ht="12.75">
      <c r="A19" s="9" t="s">
        <v>322</v>
      </c>
      <c r="B19" s="10" t="s">
        <v>323</v>
      </c>
      <c r="C19" s="11">
        <f>2</f>
        <v>2</v>
      </c>
      <c r="D19" s="11">
        <f>2</f>
        <v>2</v>
      </c>
      <c r="E19" s="23">
        <f t="shared" si="0"/>
        <v>4</v>
      </c>
      <c r="F19" s="5">
        <f t="shared" si="2"/>
        <v>0.0006984459577440195</v>
      </c>
      <c r="G19" s="6">
        <f>3</f>
        <v>3</v>
      </c>
      <c r="H19" s="5">
        <f t="shared" si="3"/>
        <v>0.0024232633279483036</v>
      </c>
      <c r="I19" s="6">
        <f>36</f>
        <v>36</v>
      </c>
      <c r="J19" s="5">
        <f t="shared" si="4"/>
        <v>0.0052662375658279695</v>
      </c>
      <c r="K19" s="15">
        <f t="shared" si="1"/>
        <v>0.0027959822838400975</v>
      </c>
      <c r="L19" s="119"/>
      <c r="M19" s="123">
        <f t="shared" si="5"/>
        <v>663.059042452759</v>
      </c>
      <c r="N19" s="55"/>
    </row>
    <row r="20" spans="1:14" ht="12.75">
      <c r="A20" s="9" t="s">
        <v>324</v>
      </c>
      <c r="B20" s="10" t="s">
        <v>325</v>
      </c>
      <c r="E20" s="23">
        <f t="shared" si="0"/>
        <v>0</v>
      </c>
      <c r="F20" s="5">
        <f t="shared" si="2"/>
        <v>0</v>
      </c>
      <c r="G20" s="6">
        <f>3</f>
        <v>3</v>
      </c>
      <c r="H20" s="5">
        <f t="shared" si="3"/>
        <v>0.0024232633279483036</v>
      </c>
      <c r="I20" s="6">
        <f>3</f>
        <v>3</v>
      </c>
      <c r="J20" s="5">
        <f t="shared" si="4"/>
        <v>0.0004388531304856641</v>
      </c>
      <c r="K20" s="15">
        <f t="shared" si="1"/>
        <v>0.0009540388194779893</v>
      </c>
      <c r="L20" s="119"/>
      <c r="M20" s="123">
        <f t="shared" si="5"/>
        <v>226.24752301256487</v>
      </c>
      <c r="N20" s="55"/>
    </row>
    <row r="21" spans="1:14" ht="12.75">
      <c r="A21" s="9" t="s">
        <v>326</v>
      </c>
      <c r="B21" s="10" t="s">
        <v>327</v>
      </c>
      <c r="C21" s="11">
        <f>20</f>
        <v>20</v>
      </c>
      <c r="D21" s="11">
        <f>2</f>
        <v>2</v>
      </c>
      <c r="E21" s="23">
        <f t="shared" si="0"/>
        <v>22</v>
      </c>
      <c r="F21" s="5">
        <f t="shared" si="2"/>
        <v>0.0038414527675921075</v>
      </c>
      <c r="H21" s="5">
        <f t="shared" si="3"/>
        <v>0</v>
      </c>
      <c r="I21" s="6">
        <f>6+5</f>
        <v>11</v>
      </c>
      <c r="J21" s="5">
        <f t="shared" si="4"/>
        <v>0.0016091281451141018</v>
      </c>
      <c r="K21" s="15">
        <f t="shared" si="1"/>
        <v>0.0018168603042354031</v>
      </c>
      <c r="L21" s="119"/>
      <c r="M21" s="123">
        <f t="shared" si="5"/>
        <v>430.8631211862324</v>
      </c>
      <c r="N21" s="55"/>
    </row>
    <row r="22" spans="1:14" ht="12.75">
      <c r="A22" s="9" t="s">
        <v>328</v>
      </c>
      <c r="B22" s="10" t="s">
        <v>329</v>
      </c>
      <c r="C22" s="11">
        <f>1371</f>
        <v>1371</v>
      </c>
      <c r="D22" s="11">
        <f>7</f>
        <v>7</v>
      </c>
      <c r="E22" s="23">
        <f t="shared" si="0"/>
        <v>1378</v>
      </c>
      <c r="F22" s="5">
        <f t="shared" si="2"/>
        <v>0.24061463244281472</v>
      </c>
      <c r="G22" s="6">
        <f>79</f>
        <v>79</v>
      </c>
      <c r="H22" s="5">
        <f t="shared" si="3"/>
        <v>0.06381260096930533</v>
      </c>
      <c r="I22" s="6">
        <f>211</f>
        <v>211</v>
      </c>
      <c r="J22" s="5">
        <f t="shared" si="4"/>
        <v>0.030866003510825045</v>
      </c>
      <c r="K22" s="15">
        <f t="shared" si="1"/>
        <v>0.11176441230764837</v>
      </c>
      <c r="L22" s="119"/>
      <c r="M22" s="123">
        <f t="shared" si="5"/>
        <v>26504.60435079167</v>
      </c>
      <c r="N22" s="55"/>
    </row>
    <row r="23" spans="1:14" ht="12.75">
      <c r="A23" s="9" t="s">
        <v>330</v>
      </c>
      <c r="B23" s="10" t="s">
        <v>331</v>
      </c>
      <c r="C23" s="11">
        <f>766</f>
        <v>766</v>
      </c>
      <c r="D23" s="11">
        <f>73</f>
        <v>73</v>
      </c>
      <c r="E23" s="23">
        <f t="shared" si="0"/>
        <v>839</v>
      </c>
      <c r="F23" s="5">
        <f t="shared" si="2"/>
        <v>0.1464990396368081</v>
      </c>
      <c r="G23" s="6">
        <f>19+24</f>
        <v>43</v>
      </c>
      <c r="H23" s="5">
        <f t="shared" si="3"/>
        <v>0.034733441033925685</v>
      </c>
      <c r="I23" s="6">
        <f>144</f>
        <v>144</v>
      </c>
      <c r="J23" s="5">
        <f t="shared" si="4"/>
        <v>0.021064950263311878</v>
      </c>
      <c r="K23" s="15">
        <f t="shared" si="1"/>
        <v>0.06743247697801522</v>
      </c>
      <c r="L23" s="119"/>
      <c r="M23" s="123">
        <f t="shared" si="5"/>
        <v>15991.415208057717</v>
      </c>
      <c r="N23" s="55"/>
    </row>
    <row r="24" spans="1:14" ht="12.75">
      <c r="A24" s="9" t="s">
        <v>332</v>
      </c>
      <c r="B24" s="10" t="s">
        <v>333</v>
      </c>
      <c r="C24" s="11">
        <f>24</f>
        <v>24</v>
      </c>
      <c r="D24" s="11">
        <f>11</f>
        <v>11</v>
      </c>
      <c r="E24" s="23">
        <f t="shared" si="0"/>
        <v>35</v>
      </c>
      <c r="F24" s="5">
        <f t="shared" si="2"/>
        <v>0.006111402130260171</v>
      </c>
      <c r="H24" s="5">
        <f t="shared" si="3"/>
        <v>0</v>
      </c>
      <c r="I24" s="6">
        <f>428</f>
        <v>428</v>
      </c>
      <c r="J24" s="5">
        <f t="shared" si="4"/>
        <v>0.06260971328262141</v>
      </c>
      <c r="K24" s="15">
        <f t="shared" si="1"/>
        <v>0.022907038470960525</v>
      </c>
      <c r="L24" s="119"/>
      <c r="M24" s="123">
        <f t="shared" si="5"/>
        <v>5432.337351266365</v>
      </c>
      <c r="N24" s="55"/>
    </row>
    <row r="25" spans="1:14" ht="12.75">
      <c r="A25" s="9" t="s">
        <v>334</v>
      </c>
      <c r="B25" s="10" t="s">
        <v>335</v>
      </c>
      <c r="E25" s="23">
        <f t="shared" si="0"/>
        <v>0</v>
      </c>
      <c r="F25" s="5">
        <f t="shared" si="2"/>
        <v>0</v>
      </c>
      <c r="H25" s="5">
        <f t="shared" si="3"/>
        <v>0</v>
      </c>
      <c r="I25" s="6">
        <f>10</f>
        <v>10</v>
      </c>
      <c r="J25" s="5">
        <f t="shared" si="4"/>
        <v>0.001462843768285547</v>
      </c>
      <c r="K25" s="15">
        <f t="shared" si="1"/>
        <v>0.0004876145894285157</v>
      </c>
      <c r="L25" s="119"/>
      <c r="M25" s="123">
        <f t="shared" si="5"/>
        <v>115.63637746245368</v>
      </c>
      <c r="N25" s="55"/>
    </row>
    <row r="26" spans="1:14" ht="12.75">
      <c r="A26" s="9" t="s">
        <v>336</v>
      </c>
      <c r="B26" s="10" t="s">
        <v>337</v>
      </c>
      <c r="E26" s="23">
        <f t="shared" si="0"/>
        <v>0</v>
      </c>
      <c r="F26" s="5">
        <f t="shared" si="2"/>
        <v>0</v>
      </c>
      <c r="G26" s="6">
        <f>13</f>
        <v>13</v>
      </c>
      <c r="H26" s="5">
        <f t="shared" si="3"/>
        <v>0.01050080775444265</v>
      </c>
      <c r="I26" s="6">
        <f>28</f>
        <v>28</v>
      </c>
      <c r="J26" s="5">
        <f t="shared" si="4"/>
        <v>0.004095962551199532</v>
      </c>
      <c r="K26" s="15">
        <f t="shared" si="1"/>
        <v>0.004865590101880727</v>
      </c>
      <c r="L26" s="119"/>
      <c r="M26" s="123">
        <f t="shared" si="5"/>
        <v>1153.8604992481282</v>
      </c>
      <c r="N26" s="55"/>
    </row>
    <row r="27" spans="1:14" ht="12.75">
      <c r="A27" s="9" t="s">
        <v>338</v>
      </c>
      <c r="B27" s="10" t="s">
        <v>339</v>
      </c>
      <c r="C27" s="11">
        <f>2</f>
        <v>2</v>
      </c>
      <c r="D27" s="11">
        <f>2</f>
        <v>2</v>
      </c>
      <c r="E27" s="23">
        <f t="shared" si="0"/>
        <v>4</v>
      </c>
      <c r="F27" s="5">
        <f t="shared" si="2"/>
        <v>0.0006984459577440195</v>
      </c>
      <c r="G27" s="6">
        <f>7</f>
        <v>7</v>
      </c>
      <c r="H27" s="5">
        <f t="shared" si="3"/>
        <v>0.005654281098546042</v>
      </c>
      <c r="I27" s="6">
        <f>17</f>
        <v>17</v>
      </c>
      <c r="J27" s="5">
        <f t="shared" si="4"/>
        <v>0.00248683440608543</v>
      </c>
      <c r="K27" s="15">
        <f t="shared" si="1"/>
        <v>0.002946520487458497</v>
      </c>
      <c r="L27" s="119"/>
      <c r="M27" s="123">
        <f t="shared" si="5"/>
        <v>698.7587383058686</v>
      </c>
      <c r="N27" s="55"/>
    </row>
    <row r="28" spans="1:14" ht="12.75">
      <c r="A28" s="9" t="s">
        <v>340</v>
      </c>
      <c r="B28" s="10" t="s">
        <v>341</v>
      </c>
      <c r="E28" s="23">
        <f t="shared" si="0"/>
        <v>0</v>
      </c>
      <c r="F28" s="5">
        <f t="shared" si="2"/>
        <v>0</v>
      </c>
      <c r="G28" s="6">
        <f>12</f>
        <v>12</v>
      </c>
      <c r="H28" s="5">
        <f t="shared" si="3"/>
        <v>0.009693053311793215</v>
      </c>
      <c r="I28" s="6">
        <f>40</f>
        <v>40</v>
      </c>
      <c r="J28" s="5">
        <f t="shared" si="4"/>
        <v>0.005851375073142188</v>
      </c>
      <c r="K28" s="15">
        <f t="shared" si="1"/>
        <v>0.0051814761283118</v>
      </c>
      <c r="L28" s="119"/>
      <c r="M28" s="123">
        <f t="shared" si="5"/>
        <v>1228.7719489451297</v>
      </c>
      <c r="N28" s="55"/>
    </row>
    <row r="29" spans="1:14" ht="12.75">
      <c r="A29" s="9" t="s">
        <v>342</v>
      </c>
      <c r="B29" s="10" t="s">
        <v>343</v>
      </c>
      <c r="E29" s="23">
        <f t="shared" si="0"/>
        <v>0</v>
      </c>
      <c r="F29" s="5">
        <f t="shared" si="2"/>
        <v>0</v>
      </c>
      <c r="H29" s="5">
        <f t="shared" si="3"/>
        <v>0</v>
      </c>
      <c r="I29" s="6">
        <f>1</f>
        <v>1</v>
      </c>
      <c r="J29" s="5">
        <f t="shared" si="4"/>
        <v>0.0001462843768285547</v>
      </c>
      <c r="K29" s="15">
        <f t="shared" si="1"/>
        <v>4.876145894285157E-05</v>
      </c>
      <c r="L29" s="119"/>
      <c r="M29" s="123">
        <f t="shared" si="5"/>
        <v>11.56363774624537</v>
      </c>
      <c r="N29" s="55"/>
    </row>
    <row r="30" spans="1:14" ht="12.75">
      <c r="A30" s="9" t="s">
        <v>344</v>
      </c>
      <c r="B30" s="10" t="s">
        <v>345</v>
      </c>
      <c r="E30" s="23">
        <f t="shared" si="0"/>
        <v>0</v>
      </c>
      <c r="F30" s="5">
        <f t="shared" si="2"/>
        <v>0</v>
      </c>
      <c r="G30" s="6">
        <f>26</f>
        <v>26</v>
      </c>
      <c r="H30" s="5">
        <f t="shared" si="3"/>
        <v>0.0210016155088853</v>
      </c>
      <c r="I30" s="6">
        <f>38+2</f>
        <v>40</v>
      </c>
      <c r="J30" s="5">
        <f t="shared" si="4"/>
        <v>0.005851375073142188</v>
      </c>
      <c r="K30" s="15">
        <f t="shared" si="1"/>
        <v>0.00895099686067583</v>
      </c>
      <c r="L30" s="119"/>
      <c r="M30" s="123">
        <f t="shared" si="5"/>
        <v>2122.702794556331</v>
      </c>
      <c r="N30" s="55"/>
    </row>
    <row r="31" spans="1:14" ht="12.75">
      <c r="A31" s="9" t="s">
        <v>346</v>
      </c>
      <c r="B31" s="10" t="s">
        <v>347</v>
      </c>
      <c r="C31" s="11">
        <f>2</f>
        <v>2</v>
      </c>
      <c r="E31" s="23">
        <f t="shared" si="0"/>
        <v>2</v>
      </c>
      <c r="F31" s="5">
        <f t="shared" si="2"/>
        <v>0.00034922297887200976</v>
      </c>
      <c r="G31" s="6">
        <f>6</f>
        <v>6</v>
      </c>
      <c r="H31" s="5">
        <f t="shared" si="3"/>
        <v>0.004846526655896607</v>
      </c>
      <c r="I31" s="6">
        <f>99</f>
        <v>99</v>
      </c>
      <c r="J31" s="5">
        <f t="shared" si="4"/>
        <v>0.014482153306026917</v>
      </c>
      <c r="K31" s="15">
        <f t="shared" si="1"/>
        <v>0.006559300980265179</v>
      </c>
      <c r="L31" s="119"/>
      <c r="M31" s="123">
        <f t="shared" si="5"/>
        <v>1555.5190933329977</v>
      </c>
      <c r="N31" s="55"/>
    </row>
    <row r="32" spans="1:14" ht="12.75">
      <c r="A32" s="9" t="s">
        <v>348</v>
      </c>
      <c r="B32" s="10" t="s">
        <v>349</v>
      </c>
      <c r="E32" s="23">
        <f t="shared" si="0"/>
        <v>0</v>
      </c>
      <c r="F32" s="5">
        <f t="shared" si="2"/>
        <v>0</v>
      </c>
      <c r="G32" s="6">
        <f>3+2+2+3+5</f>
        <v>15</v>
      </c>
      <c r="H32" s="5">
        <f t="shared" si="3"/>
        <v>0.012116316639741519</v>
      </c>
      <c r="I32" s="6">
        <f>57</f>
        <v>57</v>
      </c>
      <c r="J32" s="5">
        <f t="shared" si="4"/>
        <v>0.008338209479227619</v>
      </c>
      <c r="K32" s="15">
        <f t="shared" si="1"/>
        <v>0.006818175372989712</v>
      </c>
      <c r="L32" s="119"/>
      <c r="M32" s="123">
        <f t="shared" si="5"/>
        <v>1616.9104004051298</v>
      </c>
      <c r="N32" s="55"/>
    </row>
    <row r="33" spans="1:14" ht="12.75">
      <c r="A33" s="9" t="s">
        <v>350</v>
      </c>
      <c r="B33" s="10" t="s">
        <v>351</v>
      </c>
      <c r="E33" s="23">
        <f t="shared" si="0"/>
        <v>0</v>
      </c>
      <c r="F33" s="5">
        <f t="shared" si="2"/>
        <v>0</v>
      </c>
      <c r="G33" s="6">
        <f>1</f>
        <v>1</v>
      </c>
      <c r="H33" s="5">
        <f t="shared" si="3"/>
        <v>0.0008077544426494346</v>
      </c>
      <c r="I33" s="6">
        <f>9</f>
        <v>9</v>
      </c>
      <c r="J33" s="5">
        <f t="shared" si="4"/>
        <v>0.0013165593914569924</v>
      </c>
      <c r="K33" s="15">
        <f t="shared" si="1"/>
        <v>0.0007081046113688091</v>
      </c>
      <c r="L33" s="119"/>
      <c r="M33" s="123">
        <f t="shared" si="5"/>
        <v>167.92494297415126</v>
      </c>
      <c r="N33" s="55"/>
    </row>
    <row r="34" spans="1:14" ht="12.75">
      <c r="A34" s="9" t="s">
        <v>352</v>
      </c>
      <c r="B34" s="10" t="s">
        <v>353</v>
      </c>
      <c r="E34" s="23">
        <f t="shared" si="0"/>
        <v>0</v>
      </c>
      <c r="F34" s="5">
        <f t="shared" si="2"/>
        <v>0</v>
      </c>
      <c r="G34" s="6">
        <f>14</f>
        <v>14</v>
      </c>
      <c r="H34" s="5">
        <f t="shared" si="3"/>
        <v>0.011308562197092083</v>
      </c>
      <c r="I34" s="6">
        <f>33</f>
        <v>33</v>
      </c>
      <c r="J34" s="5">
        <f t="shared" si="4"/>
        <v>0.004827384435342305</v>
      </c>
      <c r="K34" s="15">
        <f t="shared" si="1"/>
        <v>0.005378648877478129</v>
      </c>
      <c r="L34" s="119"/>
      <c r="M34" s="123">
        <f t="shared" si="5"/>
        <v>1275.5308912372977</v>
      </c>
      <c r="N34" s="55"/>
    </row>
    <row r="35" spans="1:14" ht="12.75">
      <c r="A35" s="9" t="s">
        <v>354</v>
      </c>
      <c r="B35" s="10" t="s">
        <v>355</v>
      </c>
      <c r="E35" s="23">
        <f t="shared" si="0"/>
        <v>0</v>
      </c>
      <c r="F35" s="5">
        <f t="shared" si="2"/>
        <v>0</v>
      </c>
      <c r="H35" s="5">
        <f t="shared" si="3"/>
        <v>0</v>
      </c>
      <c r="I35" s="6">
        <f>8</f>
        <v>8</v>
      </c>
      <c r="J35" s="5">
        <f t="shared" si="4"/>
        <v>0.0011702750146284377</v>
      </c>
      <c r="K35" s="15">
        <f t="shared" si="1"/>
        <v>0.0003900916715428126</v>
      </c>
      <c r="L35" s="119"/>
      <c r="M35" s="123">
        <f t="shared" si="5"/>
        <v>92.50910196996296</v>
      </c>
      <c r="N35" s="55"/>
    </row>
    <row r="36" spans="1:14" ht="12.75">
      <c r="A36" s="9" t="s">
        <v>356</v>
      </c>
      <c r="B36" s="10" t="s">
        <v>357</v>
      </c>
      <c r="E36" s="23">
        <f t="shared" si="0"/>
        <v>0</v>
      </c>
      <c r="F36" s="5">
        <f t="shared" si="2"/>
        <v>0</v>
      </c>
      <c r="H36" s="5">
        <f t="shared" si="3"/>
        <v>0</v>
      </c>
      <c r="I36" s="6">
        <f>2</f>
        <v>2</v>
      </c>
      <c r="J36" s="5">
        <f t="shared" si="4"/>
        <v>0.0002925687536571094</v>
      </c>
      <c r="K36" s="15">
        <f t="shared" si="1"/>
        <v>9.752291788570315E-05</v>
      </c>
      <c r="L36" s="119"/>
      <c r="M36" s="123">
        <f t="shared" si="5"/>
        <v>23.12727549249074</v>
      </c>
      <c r="N36" s="55"/>
    </row>
    <row r="37" spans="1:14" ht="12.75">
      <c r="A37" s="9" t="s">
        <v>358</v>
      </c>
      <c r="B37" s="10" t="s">
        <v>359</v>
      </c>
      <c r="C37" s="11">
        <f>32</f>
        <v>32</v>
      </c>
      <c r="E37" s="23">
        <f t="shared" si="0"/>
        <v>32</v>
      </c>
      <c r="F37" s="5">
        <f t="shared" si="2"/>
        <v>0.005587567661952156</v>
      </c>
      <c r="G37" s="6">
        <f>1</f>
        <v>1</v>
      </c>
      <c r="H37" s="5">
        <f t="shared" si="3"/>
        <v>0.0008077544426494346</v>
      </c>
      <c r="I37" s="6">
        <f>19</f>
        <v>19</v>
      </c>
      <c r="J37" s="5">
        <f t="shared" si="4"/>
        <v>0.0027794031597425397</v>
      </c>
      <c r="K37" s="15">
        <f t="shared" si="1"/>
        <v>0.0030582417547813765</v>
      </c>
      <c r="L37" s="119"/>
      <c r="M37" s="123">
        <f t="shared" si="5"/>
        <v>725.2531109493806</v>
      </c>
      <c r="N37" s="55"/>
    </row>
    <row r="38" spans="1:14" ht="12.75">
      <c r="A38" s="9" t="s">
        <v>360</v>
      </c>
      <c r="B38" s="10" t="s">
        <v>361</v>
      </c>
      <c r="E38" s="23">
        <f t="shared" si="0"/>
        <v>0</v>
      </c>
      <c r="F38" s="5">
        <f t="shared" si="2"/>
        <v>0</v>
      </c>
      <c r="H38" s="5">
        <f t="shared" si="3"/>
        <v>0</v>
      </c>
      <c r="I38" s="6">
        <f>44</f>
        <v>44</v>
      </c>
      <c r="J38" s="5">
        <f t="shared" si="4"/>
        <v>0.006436512580456407</v>
      </c>
      <c r="K38" s="15">
        <f t="shared" si="1"/>
        <v>0.002145504193485469</v>
      </c>
      <c r="L38" s="119"/>
      <c r="M38" s="123">
        <f t="shared" si="5"/>
        <v>508.80006083479617</v>
      </c>
      <c r="N38" s="55"/>
    </row>
    <row r="39" spans="1:14" ht="12.75">
      <c r="A39" s="9" t="s">
        <v>362</v>
      </c>
      <c r="B39" s="10" t="s">
        <v>363</v>
      </c>
      <c r="E39" s="23">
        <f aca="true" t="shared" si="6" ref="E39:E70">C39+D39</f>
        <v>0</v>
      </c>
      <c r="F39" s="5">
        <f t="shared" si="2"/>
        <v>0</v>
      </c>
      <c r="H39" s="5">
        <f t="shared" si="3"/>
        <v>0</v>
      </c>
      <c r="I39" s="6">
        <f>23</f>
        <v>23</v>
      </c>
      <c r="J39" s="5">
        <f t="shared" si="4"/>
        <v>0.0033645406670567584</v>
      </c>
      <c r="K39" s="15">
        <f aca="true" t="shared" si="7" ref="K39:K70">+(F39+H39+J39)/3</f>
        <v>0.001121513555685586</v>
      </c>
      <c r="L39" s="119"/>
      <c r="M39" s="123">
        <f t="shared" si="5"/>
        <v>265.96366816364343</v>
      </c>
      <c r="N39" s="55"/>
    </row>
    <row r="40" spans="1:14" ht="12.75">
      <c r="A40" s="9" t="s">
        <v>364</v>
      </c>
      <c r="B40" s="10" t="s">
        <v>365</v>
      </c>
      <c r="C40" s="11">
        <f>4</f>
        <v>4</v>
      </c>
      <c r="E40" s="23">
        <f t="shared" si="6"/>
        <v>4</v>
      </c>
      <c r="F40" s="5">
        <f t="shared" si="2"/>
        <v>0.0006984459577440195</v>
      </c>
      <c r="H40" s="5">
        <f t="shared" si="3"/>
        <v>0</v>
      </c>
      <c r="I40" s="6">
        <f>40</f>
        <v>40</v>
      </c>
      <c r="J40" s="5">
        <f t="shared" si="4"/>
        <v>0.005851375073142188</v>
      </c>
      <c r="K40" s="15">
        <f t="shared" si="7"/>
        <v>0.002183273676962069</v>
      </c>
      <c r="L40" s="119"/>
      <c r="M40" s="123">
        <f t="shared" si="5"/>
        <v>517.7569836639117</v>
      </c>
      <c r="N40" s="55"/>
    </row>
    <row r="41" spans="1:14" ht="12.75">
      <c r="A41" s="9" t="s">
        <v>170</v>
      </c>
      <c r="B41" s="10" t="s">
        <v>366</v>
      </c>
      <c r="C41" s="11">
        <f>4</f>
        <v>4</v>
      </c>
      <c r="D41" s="11">
        <f>4</f>
        <v>4</v>
      </c>
      <c r="E41" s="23">
        <f t="shared" si="6"/>
        <v>8</v>
      </c>
      <c r="F41" s="5">
        <f t="shared" si="2"/>
        <v>0.001396891915488039</v>
      </c>
      <c r="G41" s="6">
        <f>28</f>
        <v>28</v>
      </c>
      <c r="H41" s="5">
        <f t="shared" si="3"/>
        <v>0.022617124394184167</v>
      </c>
      <c r="I41" s="6">
        <f>189</f>
        <v>189</v>
      </c>
      <c r="J41" s="5">
        <f t="shared" si="4"/>
        <v>0.02764774722059684</v>
      </c>
      <c r="K41" s="15">
        <f t="shared" si="7"/>
        <v>0.017220587843423018</v>
      </c>
      <c r="L41" s="119"/>
      <c r="M41" s="123">
        <f t="shared" si="5"/>
        <v>4083.812172890971</v>
      </c>
      <c r="N41" s="55"/>
    </row>
    <row r="42" spans="1:14" ht="12.75">
      <c r="A42" s="9" t="s">
        <v>367</v>
      </c>
      <c r="B42" s="10" t="s">
        <v>368</v>
      </c>
      <c r="E42" s="23">
        <f t="shared" si="6"/>
        <v>0</v>
      </c>
      <c r="F42" s="5">
        <f t="shared" si="2"/>
        <v>0</v>
      </c>
      <c r="G42" s="6">
        <f>2</f>
        <v>2</v>
      </c>
      <c r="H42" s="5">
        <f t="shared" si="3"/>
        <v>0.0016155088852988692</v>
      </c>
      <c r="I42" s="6">
        <f>48</f>
        <v>48</v>
      </c>
      <c r="J42" s="5">
        <f t="shared" si="4"/>
        <v>0.007021650087770626</v>
      </c>
      <c r="K42" s="15">
        <f t="shared" si="7"/>
        <v>0.002879052991023165</v>
      </c>
      <c r="L42" s="119"/>
      <c r="M42" s="123">
        <f t="shared" si="5"/>
        <v>682.7590183356635</v>
      </c>
      <c r="N42" s="55"/>
    </row>
    <row r="43" spans="1:14" ht="12.75">
      <c r="A43" s="9" t="s">
        <v>369</v>
      </c>
      <c r="B43" s="10" t="s">
        <v>370</v>
      </c>
      <c r="E43" s="23">
        <f t="shared" si="6"/>
        <v>0</v>
      </c>
      <c r="F43" s="5">
        <f t="shared" si="2"/>
        <v>0</v>
      </c>
      <c r="H43" s="5">
        <f t="shared" si="3"/>
        <v>0</v>
      </c>
      <c r="I43" s="6">
        <f>47</f>
        <v>47</v>
      </c>
      <c r="J43" s="5">
        <f t="shared" si="4"/>
        <v>0.006875365710942071</v>
      </c>
      <c r="K43" s="15">
        <f t="shared" si="7"/>
        <v>0.0022917885703140238</v>
      </c>
      <c r="L43" s="119"/>
      <c r="M43" s="123">
        <f t="shared" si="5"/>
        <v>543.4909740735322</v>
      </c>
      <c r="N43" s="55"/>
    </row>
    <row r="44" spans="1:14" ht="12.75">
      <c r="A44" s="9" t="s">
        <v>371</v>
      </c>
      <c r="B44" s="10" t="s">
        <v>372</v>
      </c>
      <c r="E44" s="23">
        <f t="shared" si="6"/>
        <v>0</v>
      </c>
      <c r="F44" s="5">
        <f t="shared" si="2"/>
        <v>0</v>
      </c>
      <c r="G44" s="6">
        <f>8</f>
        <v>8</v>
      </c>
      <c r="H44" s="5">
        <f t="shared" si="3"/>
        <v>0.006462035541195477</v>
      </c>
      <c r="I44" s="6">
        <f>31</f>
        <v>31</v>
      </c>
      <c r="J44" s="5">
        <f t="shared" si="4"/>
        <v>0.004534815681685196</v>
      </c>
      <c r="K44" s="15">
        <f t="shared" si="7"/>
        <v>0.003665617074293558</v>
      </c>
      <c r="L44" s="119"/>
      <c r="M44" s="123">
        <f t="shared" si="5"/>
        <v>869.2903961971499</v>
      </c>
      <c r="N44" s="55"/>
    </row>
    <row r="45" spans="1:14" ht="12.75">
      <c r="A45" s="9" t="s">
        <v>373</v>
      </c>
      <c r="B45" s="10" t="s">
        <v>374</v>
      </c>
      <c r="C45" s="11">
        <f>15</f>
        <v>15</v>
      </c>
      <c r="D45" s="11">
        <f>9</f>
        <v>9</v>
      </c>
      <c r="E45" s="23">
        <f t="shared" si="6"/>
        <v>24</v>
      </c>
      <c r="F45" s="5">
        <f t="shared" si="2"/>
        <v>0.0041906757464641176</v>
      </c>
      <c r="H45" s="5">
        <f t="shared" si="3"/>
        <v>0</v>
      </c>
      <c r="I45" s="6">
        <f>73</f>
        <v>73</v>
      </c>
      <c r="J45" s="5">
        <f t="shared" si="4"/>
        <v>0.010678759508484494</v>
      </c>
      <c r="K45" s="15">
        <f t="shared" si="7"/>
        <v>0.004956478418316204</v>
      </c>
      <c r="L45" s="119"/>
      <c r="M45" s="123">
        <f t="shared" si="5"/>
        <v>1175.4143983604938</v>
      </c>
      <c r="N45" s="55"/>
    </row>
    <row r="46" spans="1:14" ht="12.75">
      <c r="A46" s="9" t="s">
        <v>375</v>
      </c>
      <c r="B46" s="10" t="s">
        <v>376</v>
      </c>
      <c r="E46" s="23">
        <f t="shared" si="6"/>
        <v>0</v>
      </c>
      <c r="F46" s="5">
        <f t="shared" si="2"/>
        <v>0</v>
      </c>
      <c r="H46" s="5">
        <f t="shared" si="3"/>
        <v>0</v>
      </c>
      <c r="I46" s="6">
        <f>31</f>
        <v>31</v>
      </c>
      <c r="J46" s="5">
        <f t="shared" si="4"/>
        <v>0.004534815681685196</v>
      </c>
      <c r="K46" s="15">
        <f t="shared" si="7"/>
        <v>0.0015116052272283987</v>
      </c>
      <c r="L46" s="119"/>
      <c r="M46" s="123">
        <f t="shared" si="5"/>
        <v>358.47277013360645</v>
      </c>
      <c r="N46" s="55"/>
    </row>
    <row r="47" spans="1:14" ht="12.75">
      <c r="A47" s="9" t="s">
        <v>377</v>
      </c>
      <c r="B47" s="10" t="s">
        <v>378</v>
      </c>
      <c r="E47" s="23">
        <f t="shared" si="6"/>
        <v>0</v>
      </c>
      <c r="F47" s="5">
        <f t="shared" si="2"/>
        <v>0</v>
      </c>
      <c r="G47" s="6">
        <f>2</f>
        <v>2</v>
      </c>
      <c r="H47" s="5">
        <f t="shared" si="3"/>
        <v>0.0016155088852988692</v>
      </c>
      <c r="I47" s="6">
        <f>13</f>
        <v>13</v>
      </c>
      <c r="J47" s="5">
        <f t="shared" si="4"/>
        <v>0.0019016968987712111</v>
      </c>
      <c r="K47" s="15">
        <f t="shared" si="7"/>
        <v>0.0011724019280233602</v>
      </c>
      <c r="L47" s="119"/>
      <c r="M47" s="123">
        <f t="shared" si="5"/>
        <v>278.03169721707565</v>
      </c>
      <c r="N47" s="55"/>
    </row>
    <row r="48" spans="1:14" ht="12.75">
      <c r="A48" s="9" t="s">
        <v>379</v>
      </c>
      <c r="B48" s="10" t="s">
        <v>380</v>
      </c>
      <c r="E48" s="23">
        <f t="shared" si="6"/>
        <v>0</v>
      </c>
      <c r="F48" s="5">
        <f t="shared" si="2"/>
        <v>0</v>
      </c>
      <c r="G48" s="6">
        <f>4</f>
        <v>4</v>
      </c>
      <c r="H48" s="5">
        <f t="shared" si="3"/>
        <v>0.0032310177705977385</v>
      </c>
      <c r="I48" s="6">
        <f>21</f>
        <v>21</v>
      </c>
      <c r="J48" s="5">
        <f t="shared" si="4"/>
        <v>0.003071971913399649</v>
      </c>
      <c r="K48" s="15">
        <f t="shared" si="7"/>
        <v>0.0021009965613324627</v>
      </c>
      <c r="L48" s="119"/>
      <c r="M48" s="123">
        <f t="shared" si="5"/>
        <v>498.24520570292447</v>
      </c>
      <c r="N48" s="55"/>
    </row>
    <row r="49" spans="1:14" ht="12.75">
      <c r="A49" s="9" t="s">
        <v>381</v>
      </c>
      <c r="B49" s="10" t="s">
        <v>382</v>
      </c>
      <c r="E49" s="23">
        <f t="shared" si="6"/>
        <v>0</v>
      </c>
      <c r="F49" s="5">
        <f t="shared" si="2"/>
        <v>0</v>
      </c>
      <c r="G49" s="6">
        <f>6</f>
        <v>6</v>
      </c>
      <c r="H49" s="5">
        <f t="shared" si="3"/>
        <v>0.004846526655896607</v>
      </c>
      <c r="I49" s="6">
        <f>18</f>
        <v>18</v>
      </c>
      <c r="J49" s="5">
        <f t="shared" si="4"/>
        <v>0.0026331187829139848</v>
      </c>
      <c r="K49" s="15">
        <f t="shared" si="7"/>
        <v>0.0024932151462701974</v>
      </c>
      <c r="L49" s="119"/>
      <c r="M49" s="123">
        <f t="shared" si="5"/>
        <v>591.2586989800741</v>
      </c>
      <c r="N49" s="55"/>
    </row>
    <row r="50" spans="1:14" ht="12.75">
      <c r="A50" s="9" t="s">
        <v>383</v>
      </c>
      <c r="B50" s="10" t="s">
        <v>384</v>
      </c>
      <c r="C50" s="11">
        <f>1</f>
        <v>1</v>
      </c>
      <c r="E50" s="23">
        <f t="shared" si="6"/>
        <v>1</v>
      </c>
      <c r="F50" s="5">
        <f t="shared" si="2"/>
        <v>0.00017461148943600488</v>
      </c>
      <c r="G50" s="6">
        <f>35+4+21+19+10</f>
        <v>89</v>
      </c>
      <c r="H50" s="5">
        <f t="shared" si="3"/>
        <v>0.07189014539579967</v>
      </c>
      <c r="I50" s="6">
        <f>203</f>
        <v>203</v>
      </c>
      <c r="J50" s="5">
        <f t="shared" si="4"/>
        <v>0.029695728496196606</v>
      </c>
      <c r="K50" s="15">
        <f t="shared" si="7"/>
        <v>0.033920161793810764</v>
      </c>
      <c r="L50" s="119"/>
      <c r="M50" s="123">
        <f t="shared" si="5"/>
        <v>8044.067420898255</v>
      </c>
      <c r="N50" s="55"/>
    </row>
    <row r="51" spans="1:14" ht="12.75">
      <c r="A51" s="9" t="s">
        <v>385</v>
      </c>
      <c r="B51" s="10" t="s">
        <v>386</v>
      </c>
      <c r="E51" s="23">
        <f t="shared" si="6"/>
        <v>0</v>
      </c>
      <c r="F51" s="5">
        <f t="shared" si="2"/>
        <v>0</v>
      </c>
      <c r="G51" s="6">
        <f>15</f>
        <v>15</v>
      </c>
      <c r="H51" s="5">
        <f t="shared" si="3"/>
        <v>0.012116316639741519</v>
      </c>
      <c r="I51" s="6">
        <f>36</f>
        <v>36</v>
      </c>
      <c r="J51" s="5">
        <f t="shared" si="4"/>
        <v>0.0052662375658279695</v>
      </c>
      <c r="K51" s="15">
        <f t="shared" si="7"/>
        <v>0.005794184735189829</v>
      </c>
      <c r="L51" s="119"/>
      <c r="M51" s="123">
        <f t="shared" si="5"/>
        <v>1374.074007733977</v>
      </c>
      <c r="N51" s="55"/>
    </row>
    <row r="52" spans="1:14" ht="12.75">
      <c r="A52" s="9" t="s">
        <v>387</v>
      </c>
      <c r="B52" s="10" t="s">
        <v>388</v>
      </c>
      <c r="E52" s="23">
        <f t="shared" si="6"/>
        <v>0</v>
      </c>
      <c r="F52" s="5">
        <f t="shared" si="2"/>
        <v>0</v>
      </c>
      <c r="G52" s="6">
        <f>13</f>
        <v>13</v>
      </c>
      <c r="H52" s="5">
        <f t="shared" si="3"/>
        <v>0.01050080775444265</v>
      </c>
      <c r="I52" s="6">
        <f>53</f>
        <v>53</v>
      </c>
      <c r="J52" s="5">
        <f t="shared" si="4"/>
        <v>0.0077530719719134</v>
      </c>
      <c r="K52" s="15">
        <f t="shared" si="7"/>
        <v>0.006084626575452016</v>
      </c>
      <c r="L52" s="119"/>
      <c r="M52" s="123">
        <f t="shared" si="5"/>
        <v>1442.9514429042624</v>
      </c>
      <c r="N52" s="55"/>
    </row>
    <row r="53" spans="1:14" ht="12.75">
      <c r="A53" s="9" t="s">
        <v>389</v>
      </c>
      <c r="B53" s="10" t="s">
        <v>390</v>
      </c>
      <c r="C53" s="11">
        <f>286</f>
        <v>286</v>
      </c>
      <c r="D53" s="11">
        <f>256</f>
        <v>256</v>
      </c>
      <c r="E53" s="23">
        <f t="shared" si="6"/>
        <v>542</v>
      </c>
      <c r="F53" s="5">
        <f t="shared" si="2"/>
        <v>0.09463942727431465</v>
      </c>
      <c r="H53" s="5">
        <f t="shared" si="3"/>
        <v>0</v>
      </c>
      <c r="I53" s="6">
        <f>9</f>
        <v>9</v>
      </c>
      <c r="J53" s="5">
        <f t="shared" si="4"/>
        <v>0.0013165593914569924</v>
      </c>
      <c r="K53" s="15">
        <f t="shared" si="7"/>
        <v>0.03198532888859055</v>
      </c>
      <c r="L53" s="119"/>
      <c r="M53" s="123">
        <f t="shared" si="5"/>
        <v>7585.227441526348</v>
      </c>
      <c r="N53" s="55"/>
    </row>
    <row r="54" spans="1:14" ht="12.75">
      <c r="A54" s="9" t="s">
        <v>391</v>
      </c>
      <c r="B54" s="10" t="s">
        <v>392</v>
      </c>
      <c r="C54" s="11">
        <f>361</f>
        <v>361</v>
      </c>
      <c r="D54" s="11">
        <f>8</f>
        <v>8</v>
      </c>
      <c r="E54" s="23">
        <f t="shared" si="6"/>
        <v>369</v>
      </c>
      <c r="F54" s="5">
        <f t="shared" si="2"/>
        <v>0.0644316396018858</v>
      </c>
      <c r="G54" s="6">
        <f>18</f>
        <v>18</v>
      </c>
      <c r="H54" s="5">
        <f t="shared" si="3"/>
        <v>0.014539579967689823</v>
      </c>
      <c r="I54" s="6">
        <f>98</f>
        <v>98</v>
      </c>
      <c r="J54" s="5">
        <f t="shared" si="4"/>
        <v>0.014335868929198362</v>
      </c>
      <c r="K54" s="15">
        <f t="shared" si="7"/>
        <v>0.031102362832924665</v>
      </c>
      <c r="L54" s="119"/>
      <c r="M54" s="123">
        <f t="shared" si="5"/>
        <v>7375.834617125464</v>
      </c>
      <c r="N54" s="55"/>
    </row>
    <row r="55" spans="1:14" ht="12.75">
      <c r="A55" s="9" t="s">
        <v>393</v>
      </c>
      <c r="B55" s="10" t="s">
        <v>394</v>
      </c>
      <c r="C55" s="11">
        <v>66</v>
      </c>
      <c r="D55" s="11">
        <f>51</f>
        <v>51</v>
      </c>
      <c r="E55" s="23">
        <f t="shared" si="6"/>
        <v>117</v>
      </c>
      <c r="F55" s="5">
        <f t="shared" si="2"/>
        <v>0.020429544264012573</v>
      </c>
      <c r="H55" s="5">
        <f t="shared" si="3"/>
        <v>0</v>
      </c>
      <c r="I55" s="6">
        <f>530</f>
        <v>530</v>
      </c>
      <c r="J55" s="5">
        <f t="shared" si="4"/>
        <v>0.077530719719134</v>
      </c>
      <c r="K55" s="15">
        <f t="shared" si="7"/>
        <v>0.03265342132771552</v>
      </c>
      <c r="L55" s="119"/>
      <c r="M55" s="123">
        <f t="shared" si="5"/>
        <v>7743.663614572381</v>
      </c>
      <c r="N55" s="55"/>
    </row>
    <row r="56" spans="1:14" ht="12.75">
      <c r="A56" s="9" t="s">
        <v>395</v>
      </c>
      <c r="B56" s="10" t="s">
        <v>396</v>
      </c>
      <c r="E56" s="23">
        <f t="shared" si="6"/>
        <v>0</v>
      </c>
      <c r="F56" s="5">
        <f t="shared" si="2"/>
        <v>0</v>
      </c>
      <c r="G56" s="6">
        <f>6</f>
        <v>6</v>
      </c>
      <c r="H56" s="5">
        <f t="shared" si="3"/>
        <v>0.004846526655896607</v>
      </c>
      <c r="I56" s="6">
        <f>15</f>
        <v>15</v>
      </c>
      <c r="J56" s="5">
        <f t="shared" si="4"/>
        <v>0.0021942656524283205</v>
      </c>
      <c r="K56" s="15">
        <f t="shared" si="7"/>
        <v>0.0023469307694416425</v>
      </c>
      <c r="L56" s="119"/>
      <c r="M56" s="123">
        <f t="shared" si="5"/>
        <v>556.567785741338</v>
      </c>
      <c r="N56" s="55"/>
    </row>
    <row r="57" spans="1:14" ht="12.75">
      <c r="A57" s="9" t="s">
        <v>397</v>
      </c>
      <c r="B57" s="10" t="s">
        <v>398</v>
      </c>
      <c r="E57" s="23">
        <f t="shared" si="6"/>
        <v>0</v>
      </c>
      <c r="F57" s="5">
        <f t="shared" si="2"/>
        <v>0</v>
      </c>
      <c r="H57" s="5">
        <f t="shared" si="3"/>
        <v>0</v>
      </c>
      <c r="I57" s="6">
        <f>24</f>
        <v>24</v>
      </c>
      <c r="J57" s="5">
        <f t="shared" si="4"/>
        <v>0.003510825043885313</v>
      </c>
      <c r="K57" s="15">
        <f t="shared" si="7"/>
        <v>0.0011702750146284377</v>
      </c>
      <c r="L57" s="119"/>
      <c r="M57" s="123">
        <f t="shared" si="5"/>
        <v>277.52730590988887</v>
      </c>
      <c r="N57" s="55"/>
    </row>
    <row r="58" spans="1:14" ht="12.75">
      <c r="A58" s="9" t="s">
        <v>399</v>
      </c>
      <c r="B58" s="10" t="s">
        <v>400</v>
      </c>
      <c r="C58" s="11">
        <f>394</f>
        <v>394</v>
      </c>
      <c r="D58" s="11">
        <f>1</f>
        <v>1</v>
      </c>
      <c r="E58" s="23">
        <f t="shared" si="6"/>
        <v>395</v>
      </c>
      <c r="F58" s="5">
        <f t="shared" si="2"/>
        <v>0.06897153832722193</v>
      </c>
      <c r="G58" s="6">
        <f>18</f>
        <v>18</v>
      </c>
      <c r="H58" s="5">
        <f t="shared" si="3"/>
        <v>0.014539579967689823</v>
      </c>
      <c r="I58" s="6">
        <f>70</f>
        <v>70</v>
      </c>
      <c r="J58" s="5">
        <f t="shared" si="4"/>
        <v>0.01023990637799883</v>
      </c>
      <c r="K58" s="15">
        <f t="shared" si="7"/>
        <v>0.03125034155763686</v>
      </c>
      <c r="L58" s="119"/>
      <c r="M58" s="123">
        <f t="shared" si="5"/>
        <v>7410.927340022224</v>
      </c>
      <c r="N58" s="55"/>
    </row>
    <row r="59" spans="1:14" ht="12.75">
      <c r="A59" s="9" t="s">
        <v>401</v>
      </c>
      <c r="B59" s="10" t="s">
        <v>402</v>
      </c>
      <c r="C59" s="11">
        <f>284</f>
        <v>284</v>
      </c>
      <c r="D59" s="11">
        <f>18</f>
        <v>18</v>
      </c>
      <c r="E59" s="23">
        <f t="shared" si="6"/>
        <v>302</v>
      </c>
      <c r="F59" s="5">
        <f t="shared" si="2"/>
        <v>0.05273266980967348</v>
      </c>
      <c r="G59" s="6">
        <f>1+6+14+4+6+2+3+5+6+4</f>
        <v>51</v>
      </c>
      <c r="H59" s="5">
        <f t="shared" si="3"/>
        <v>0.04119547657512116</v>
      </c>
      <c r="I59" s="6">
        <f>69</f>
        <v>69</v>
      </c>
      <c r="J59" s="5">
        <f t="shared" si="4"/>
        <v>0.010093622001170276</v>
      </c>
      <c r="K59" s="15">
        <f t="shared" si="7"/>
        <v>0.03467392279532164</v>
      </c>
      <c r="L59" s="119"/>
      <c r="M59" s="123">
        <f t="shared" si="5"/>
        <v>8222.81964361034</v>
      </c>
      <c r="N59" s="55"/>
    </row>
    <row r="60" spans="1:14" ht="12.75">
      <c r="A60" s="9" t="s">
        <v>403</v>
      </c>
      <c r="B60" s="10" t="s">
        <v>404</v>
      </c>
      <c r="C60" s="11">
        <f>39</f>
        <v>39</v>
      </c>
      <c r="D60" s="11">
        <f>23</f>
        <v>23</v>
      </c>
      <c r="E60" s="23">
        <f t="shared" si="6"/>
        <v>62</v>
      </c>
      <c r="F60" s="5">
        <f t="shared" si="2"/>
        <v>0.010825912345032303</v>
      </c>
      <c r="H60" s="5">
        <f t="shared" si="3"/>
        <v>0</v>
      </c>
      <c r="I60" s="6">
        <f>371</f>
        <v>371</v>
      </c>
      <c r="J60" s="5">
        <f t="shared" si="4"/>
        <v>0.054271503803393795</v>
      </c>
      <c r="K60" s="15">
        <f t="shared" si="7"/>
        <v>0.02169913871614203</v>
      </c>
      <c r="L60" s="119"/>
      <c r="M60" s="123">
        <f t="shared" si="5"/>
        <v>5145.887447975534</v>
      </c>
      <c r="N60" s="55"/>
    </row>
    <row r="61" spans="1:14" ht="12.75">
      <c r="A61" s="9" t="s">
        <v>405</v>
      </c>
      <c r="B61" s="10" t="s">
        <v>406</v>
      </c>
      <c r="C61" s="11">
        <f>1</f>
        <v>1</v>
      </c>
      <c r="D61" s="11">
        <f>1</f>
        <v>1</v>
      </c>
      <c r="E61" s="23">
        <f t="shared" si="6"/>
        <v>2</v>
      </c>
      <c r="F61" s="5">
        <f t="shared" si="2"/>
        <v>0.00034922297887200976</v>
      </c>
      <c r="H61" s="5">
        <f t="shared" si="3"/>
        <v>0</v>
      </c>
      <c r="I61" s="6">
        <f>46</f>
        <v>46</v>
      </c>
      <c r="J61" s="5">
        <f t="shared" si="4"/>
        <v>0.006729081334113517</v>
      </c>
      <c r="K61" s="15">
        <f t="shared" si="7"/>
        <v>0.002359434770995176</v>
      </c>
      <c r="L61" s="119"/>
      <c r="M61" s="123">
        <f t="shared" si="5"/>
        <v>559.5330732343355</v>
      </c>
      <c r="N61" s="55"/>
    </row>
    <row r="62" spans="1:14" ht="12.75">
      <c r="A62" s="9" t="s">
        <v>407</v>
      </c>
      <c r="B62" s="10" t="s">
        <v>408</v>
      </c>
      <c r="C62" s="11">
        <f>7</f>
        <v>7</v>
      </c>
      <c r="E62" s="23">
        <f t="shared" si="6"/>
        <v>7</v>
      </c>
      <c r="F62" s="5">
        <f t="shared" si="2"/>
        <v>0.0012222804260520342</v>
      </c>
      <c r="H62" s="5">
        <f t="shared" si="3"/>
        <v>0</v>
      </c>
      <c r="I62" s="6">
        <f>20</f>
        <v>20</v>
      </c>
      <c r="J62" s="5">
        <f t="shared" si="4"/>
        <v>0.002925687536571094</v>
      </c>
      <c r="K62" s="15">
        <f t="shared" si="7"/>
        <v>0.0013826559875410429</v>
      </c>
      <c r="L62" s="119"/>
      <c r="M62" s="123">
        <f t="shared" si="5"/>
        <v>327.89283409957704</v>
      </c>
      <c r="N62" s="55"/>
    </row>
    <row r="63" spans="1:14" ht="12.75">
      <c r="A63" s="9" t="s">
        <v>409</v>
      </c>
      <c r="B63" s="10" t="s">
        <v>410</v>
      </c>
      <c r="E63" s="23">
        <f t="shared" si="6"/>
        <v>0</v>
      </c>
      <c r="F63" s="5">
        <f t="shared" si="2"/>
        <v>0</v>
      </c>
      <c r="G63" s="6">
        <f>3</f>
        <v>3</v>
      </c>
      <c r="H63" s="5">
        <f t="shared" si="3"/>
        <v>0.0024232633279483036</v>
      </c>
      <c r="I63" s="6">
        <f>3</f>
        <v>3</v>
      </c>
      <c r="J63" s="5">
        <f t="shared" si="4"/>
        <v>0.0004388531304856641</v>
      </c>
      <c r="K63" s="15">
        <f t="shared" si="7"/>
        <v>0.0009540388194779893</v>
      </c>
      <c r="L63" s="119"/>
      <c r="M63" s="123">
        <f t="shared" si="5"/>
        <v>226.24752301256487</v>
      </c>
      <c r="N63" s="55"/>
    </row>
    <row r="64" spans="1:14" ht="12.75">
      <c r="A64" s="9" t="s">
        <v>411</v>
      </c>
      <c r="B64" s="10" t="s">
        <v>412</v>
      </c>
      <c r="E64" s="23">
        <f t="shared" si="6"/>
        <v>0</v>
      </c>
      <c r="F64" s="5">
        <f t="shared" si="2"/>
        <v>0</v>
      </c>
      <c r="G64" s="6">
        <f>7</f>
        <v>7</v>
      </c>
      <c r="H64" s="5">
        <f t="shared" si="3"/>
        <v>0.005654281098546042</v>
      </c>
      <c r="I64" s="6">
        <f>25</f>
        <v>25</v>
      </c>
      <c r="J64" s="5">
        <f t="shared" si="4"/>
        <v>0.003657109420713868</v>
      </c>
      <c r="K64" s="15">
        <f t="shared" si="7"/>
        <v>0.0031037968397533027</v>
      </c>
      <c r="L64" s="119"/>
      <c r="M64" s="123">
        <f t="shared" si="5"/>
        <v>736.0563664617346</v>
      </c>
      <c r="N64" s="55"/>
    </row>
    <row r="65" spans="1:14" ht="12.75">
      <c r="A65" s="9" t="s">
        <v>413</v>
      </c>
      <c r="B65" s="10" t="s">
        <v>414</v>
      </c>
      <c r="E65" s="23">
        <f t="shared" si="6"/>
        <v>0</v>
      </c>
      <c r="F65" s="5">
        <f t="shared" si="2"/>
        <v>0</v>
      </c>
      <c r="H65" s="5">
        <f t="shared" si="3"/>
        <v>0</v>
      </c>
      <c r="I65" s="6">
        <f>127</f>
        <v>127</v>
      </c>
      <c r="J65" s="5">
        <f t="shared" si="4"/>
        <v>0.01857811585722645</v>
      </c>
      <c r="K65" s="15">
        <f t="shared" si="7"/>
        <v>0.006192705285742149</v>
      </c>
      <c r="L65" s="119"/>
      <c r="M65" s="123">
        <f t="shared" si="5"/>
        <v>1468.5819937731617</v>
      </c>
      <c r="N65" s="55"/>
    </row>
    <row r="66" spans="1:14" ht="12.75">
      <c r="A66" s="9" t="s">
        <v>415</v>
      </c>
      <c r="B66" s="10" t="s">
        <v>416</v>
      </c>
      <c r="E66" s="23">
        <f t="shared" si="6"/>
        <v>0</v>
      </c>
      <c r="F66" s="5">
        <f t="shared" si="2"/>
        <v>0</v>
      </c>
      <c r="H66" s="5">
        <f t="shared" si="3"/>
        <v>0</v>
      </c>
      <c r="I66" s="6">
        <f>7</f>
        <v>7</v>
      </c>
      <c r="J66" s="5">
        <f t="shared" si="4"/>
        <v>0.001023990637799883</v>
      </c>
      <c r="K66" s="15">
        <f t="shared" si="7"/>
        <v>0.000341330212599961</v>
      </c>
      <c r="L66" s="119"/>
      <c r="M66" s="123">
        <f t="shared" si="5"/>
        <v>80.94546422371758</v>
      </c>
      <c r="N66" s="55"/>
    </row>
    <row r="67" spans="1:14" ht="12.75">
      <c r="A67" s="9" t="s">
        <v>417</v>
      </c>
      <c r="B67" s="10" t="s">
        <v>418</v>
      </c>
      <c r="C67" s="11">
        <f>19</f>
        <v>19</v>
      </c>
      <c r="D67" s="11">
        <f>16</f>
        <v>16</v>
      </c>
      <c r="E67" s="23">
        <f t="shared" si="6"/>
        <v>35</v>
      </c>
      <c r="F67" s="5">
        <f t="shared" si="2"/>
        <v>0.006111402130260171</v>
      </c>
      <c r="H67" s="5">
        <f t="shared" si="3"/>
        <v>0</v>
      </c>
      <c r="I67" s="6">
        <f>309</f>
        <v>309</v>
      </c>
      <c r="J67" s="5">
        <f t="shared" si="4"/>
        <v>0.045201872440023404</v>
      </c>
      <c r="K67" s="15">
        <f t="shared" si="7"/>
        <v>0.017104424856761193</v>
      </c>
      <c r="L67" s="119"/>
      <c r="M67" s="123">
        <f t="shared" si="5"/>
        <v>4056.2644594631674</v>
      </c>
      <c r="N67" s="55"/>
    </row>
    <row r="68" spans="1:14" ht="12.75">
      <c r="A68" s="9" t="s">
        <v>419</v>
      </c>
      <c r="B68" s="10" t="s">
        <v>420</v>
      </c>
      <c r="E68" s="23">
        <f t="shared" si="6"/>
        <v>0</v>
      </c>
      <c r="F68" s="5">
        <f t="shared" si="2"/>
        <v>0</v>
      </c>
      <c r="G68" s="6">
        <f>7</f>
        <v>7</v>
      </c>
      <c r="H68" s="5">
        <f t="shared" si="3"/>
        <v>0.005654281098546042</v>
      </c>
      <c r="I68" s="6">
        <f>10</f>
        <v>10</v>
      </c>
      <c r="J68" s="5">
        <f t="shared" si="4"/>
        <v>0.001462843768285547</v>
      </c>
      <c r="K68" s="15">
        <f t="shared" si="7"/>
        <v>0.0023723749556105295</v>
      </c>
      <c r="L68" s="119"/>
      <c r="M68" s="123">
        <f t="shared" si="5"/>
        <v>562.601800268054</v>
      </c>
      <c r="N68" s="55"/>
    </row>
    <row r="69" spans="1:14" ht="12.75">
      <c r="A69" s="9" t="s">
        <v>421</v>
      </c>
      <c r="B69" s="10" t="s">
        <v>422</v>
      </c>
      <c r="C69" s="11">
        <f>5</f>
        <v>5</v>
      </c>
      <c r="D69" s="11">
        <f>2</f>
        <v>2</v>
      </c>
      <c r="E69" s="23">
        <f t="shared" si="6"/>
        <v>7</v>
      </c>
      <c r="F69" s="5">
        <f t="shared" si="2"/>
        <v>0.0012222804260520342</v>
      </c>
      <c r="G69" s="6">
        <f>31</f>
        <v>31</v>
      </c>
      <c r="H69" s="5">
        <f t="shared" si="3"/>
        <v>0.025040387722132473</v>
      </c>
      <c r="I69" s="6">
        <f>134</f>
        <v>134</v>
      </c>
      <c r="J69" s="5">
        <f t="shared" si="4"/>
        <v>0.01960210649502633</v>
      </c>
      <c r="K69" s="15">
        <f t="shared" si="7"/>
        <v>0.015288258214403612</v>
      </c>
      <c r="L69" s="119"/>
      <c r="M69" s="123">
        <f t="shared" si="5"/>
        <v>3625.5658381677795</v>
      </c>
      <c r="N69" s="55"/>
    </row>
    <row r="70" spans="1:14" ht="12.75">
      <c r="A70" s="9" t="s">
        <v>423</v>
      </c>
      <c r="B70" s="10" t="s">
        <v>424</v>
      </c>
      <c r="C70" s="11">
        <f>1</f>
        <v>1</v>
      </c>
      <c r="D70" s="11">
        <f>1</f>
        <v>1</v>
      </c>
      <c r="E70" s="23">
        <f t="shared" si="6"/>
        <v>2</v>
      </c>
      <c r="F70" s="5">
        <f t="shared" si="2"/>
        <v>0.00034922297887200976</v>
      </c>
      <c r="G70" s="6">
        <f>22</f>
        <v>22</v>
      </c>
      <c r="H70" s="5">
        <f t="shared" si="3"/>
        <v>0.017770597738287562</v>
      </c>
      <c r="I70" s="6">
        <f>30</f>
        <v>30</v>
      </c>
      <c r="J70" s="5">
        <f t="shared" si="4"/>
        <v>0.004388531304856641</v>
      </c>
      <c r="K70" s="15">
        <f t="shared" si="7"/>
        <v>0.007502784007338738</v>
      </c>
      <c r="L70" s="119"/>
      <c r="M70" s="123">
        <f t="shared" si="5"/>
        <v>1779.2633409691541</v>
      </c>
      <c r="N70" s="55"/>
    </row>
    <row r="71" spans="1:14" ht="12.75">
      <c r="A71" s="9" t="s">
        <v>425</v>
      </c>
      <c r="B71" s="10" t="s">
        <v>426</v>
      </c>
      <c r="E71" s="23">
        <f aca="true" t="shared" si="8" ref="E71:E91">C71+D71</f>
        <v>0</v>
      </c>
      <c r="F71" s="5">
        <f t="shared" si="2"/>
        <v>0</v>
      </c>
      <c r="G71" s="6">
        <f>9</f>
        <v>9</v>
      </c>
      <c r="H71" s="5">
        <f t="shared" si="3"/>
        <v>0.007269789983844911</v>
      </c>
      <c r="I71" s="6">
        <f>38</f>
        <v>38</v>
      </c>
      <c r="J71" s="5">
        <f t="shared" si="4"/>
        <v>0.005558806319485079</v>
      </c>
      <c r="K71" s="15">
        <f aca="true" t="shared" si="9" ref="K71:K92">+(F71+H71+J71)/3</f>
        <v>0.004276198767776664</v>
      </c>
      <c r="L71" s="119"/>
      <c r="M71" s="123">
        <f t="shared" si="5"/>
        <v>1014.0880636788103</v>
      </c>
      <c r="N71" s="55"/>
    </row>
    <row r="72" spans="1:14" ht="12.75">
      <c r="A72" s="9" t="s">
        <v>427</v>
      </c>
      <c r="B72" s="10" t="s">
        <v>428</v>
      </c>
      <c r="E72" s="23">
        <f t="shared" si="8"/>
        <v>0</v>
      </c>
      <c r="F72" s="5">
        <f aca="true" t="shared" si="10" ref="F72:F91">+E72/E$92</f>
        <v>0</v>
      </c>
      <c r="H72" s="5">
        <f aca="true" t="shared" si="11" ref="H72:H91">+G72/G$92</f>
        <v>0</v>
      </c>
      <c r="I72" s="6">
        <f>17</f>
        <v>17</v>
      </c>
      <c r="J72" s="5">
        <f aca="true" t="shared" si="12" ref="J72:J91">+I72/I$92</f>
        <v>0.00248683440608543</v>
      </c>
      <c r="K72" s="15">
        <f t="shared" si="9"/>
        <v>0.0008289448020284766</v>
      </c>
      <c r="L72" s="119"/>
      <c r="M72" s="123">
        <f aca="true" t="shared" si="13" ref="M72:M91">K72*$M$92</f>
        <v>196.58184168617123</v>
      </c>
      <c r="N72" s="55"/>
    </row>
    <row r="73" spans="1:14" ht="12.75">
      <c r="A73" s="9" t="s">
        <v>429</v>
      </c>
      <c r="B73" s="10" t="s">
        <v>430</v>
      </c>
      <c r="E73" s="23">
        <f t="shared" si="8"/>
        <v>0</v>
      </c>
      <c r="F73" s="5">
        <f t="shared" si="10"/>
        <v>0</v>
      </c>
      <c r="H73" s="5">
        <f t="shared" si="11"/>
        <v>0</v>
      </c>
      <c r="I73" s="6">
        <f>12+100</f>
        <v>112</v>
      </c>
      <c r="J73" s="5">
        <f t="shared" si="12"/>
        <v>0.016383850204798128</v>
      </c>
      <c r="K73" s="15">
        <f t="shared" si="9"/>
        <v>0.005461283401599376</v>
      </c>
      <c r="L73" s="119"/>
      <c r="M73" s="123">
        <f t="shared" si="13"/>
        <v>1295.1274275794813</v>
      </c>
      <c r="N73" s="55"/>
    </row>
    <row r="74" spans="1:14" ht="12.75">
      <c r="A74" s="9" t="s">
        <v>431</v>
      </c>
      <c r="B74" s="10" t="s">
        <v>432</v>
      </c>
      <c r="E74" s="23">
        <f t="shared" si="8"/>
        <v>0</v>
      </c>
      <c r="F74" s="5">
        <f t="shared" si="10"/>
        <v>0</v>
      </c>
      <c r="H74" s="5">
        <f t="shared" si="11"/>
        <v>0</v>
      </c>
      <c r="I74" s="6">
        <f>61</f>
        <v>61</v>
      </c>
      <c r="J74" s="5">
        <f t="shared" si="12"/>
        <v>0.008923346986541836</v>
      </c>
      <c r="K74" s="15">
        <f t="shared" si="9"/>
        <v>0.0029744489955139453</v>
      </c>
      <c r="L74" s="119"/>
      <c r="M74" s="123">
        <f t="shared" si="13"/>
        <v>705.3819025209674</v>
      </c>
      <c r="N74" s="55"/>
    </row>
    <row r="75" spans="1:14" ht="12.75">
      <c r="A75" s="9" t="s">
        <v>433</v>
      </c>
      <c r="B75" s="10" t="s">
        <v>434</v>
      </c>
      <c r="E75" s="23">
        <f t="shared" si="8"/>
        <v>0</v>
      </c>
      <c r="F75" s="5">
        <f t="shared" si="10"/>
        <v>0</v>
      </c>
      <c r="G75" s="6">
        <f>1</f>
        <v>1</v>
      </c>
      <c r="H75" s="5">
        <f t="shared" si="11"/>
        <v>0.0008077544426494346</v>
      </c>
      <c r="I75" s="6">
        <f>8</f>
        <v>8</v>
      </c>
      <c r="J75" s="5">
        <f t="shared" si="12"/>
        <v>0.0011702750146284377</v>
      </c>
      <c r="K75" s="15">
        <f t="shared" si="9"/>
        <v>0.0006593431524259574</v>
      </c>
      <c r="L75" s="119"/>
      <c r="M75" s="123">
        <f t="shared" si="13"/>
        <v>156.36130522790586</v>
      </c>
      <c r="N75" s="55"/>
    </row>
    <row r="76" spans="1:14" ht="12.75">
      <c r="A76" s="9" t="s">
        <v>435</v>
      </c>
      <c r="B76" s="10" t="s">
        <v>436</v>
      </c>
      <c r="E76" s="23">
        <f t="shared" si="8"/>
        <v>0</v>
      </c>
      <c r="F76" s="5">
        <f t="shared" si="10"/>
        <v>0</v>
      </c>
      <c r="H76" s="5">
        <f t="shared" si="11"/>
        <v>0</v>
      </c>
      <c r="I76" s="6">
        <f>4</f>
        <v>4</v>
      </c>
      <c r="J76" s="5">
        <f t="shared" si="12"/>
        <v>0.0005851375073142189</v>
      </c>
      <c r="K76" s="15">
        <f t="shared" si="9"/>
        <v>0.0001950458357714063</v>
      </c>
      <c r="L76" s="119"/>
      <c r="M76" s="123">
        <f t="shared" si="13"/>
        <v>46.25455098498148</v>
      </c>
      <c r="N76" s="55"/>
    </row>
    <row r="77" spans="1:14" ht="12.75">
      <c r="A77" s="9" t="s">
        <v>437</v>
      </c>
      <c r="B77" s="10" t="s">
        <v>438</v>
      </c>
      <c r="C77" s="11">
        <f>7</f>
        <v>7</v>
      </c>
      <c r="E77" s="23">
        <f t="shared" si="8"/>
        <v>7</v>
      </c>
      <c r="F77" s="5">
        <f t="shared" si="10"/>
        <v>0.0012222804260520342</v>
      </c>
      <c r="H77" s="5">
        <f t="shared" si="11"/>
        <v>0</v>
      </c>
      <c r="I77" s="6">
        <f>3</f>
        <v>3</v>
      </c>
      <c r="J77" s="5">
        <f t="shared" si="12"/>
        <v>0.0004388531304856641</v>
      </c>
      <c r="K77" s="15">
        <f t="shared" si="9"/>
        <v>0.0005537111855125661</v>
      </c>
      <c r="L77" s="119"/>
      <c r="M77" s="123">
        <f t="shared" si="13"/>
        <v>131.31099241340578</v>
      </c>
      <c r="N77" s="55"/>
    </row>
    <row r="78" spans="1:14" ht="12.75">
      <c r="A78" s="29" t="s">
        <v>439</v>
      </c>
      <c r="B78" s="21" t="s">
        <v>440</v>
      </c>
      <c r="C78" s="11">
        <f>49</f>
        <v>49</v>
      </c>
      <c r="D78" s="11">
        <f>2</f>
        <v>2</v>
      </c>
      <c r="E78" s="23">
        <f t="shared" si="8"/>
        <v>51</v>
      </c>
      <c r="F78" s="5">
        <f t="shared" si="10"/>
        <v>0.00890518596123625</v>
      </c>
      <c r="H78" s="5">
        <f t="shared" si="11"/>
        <v>0</v>
      </c>
      <c r="J78" s="5">
        <f t="shared" si="12"/>
        <v>0</v>
      </c>
      <c r="K78" s="15">
        <f t="shared" si="9"/>
        <v>0.002968395320412083</v>
      </c>
      <c r="L78" s="119"/>
      <c r="M78" s="123">
        <f t="shared" si="13"/>
        <v>703.9462911297363</v>
      </c>
      <c r="N78" s="55"/>
    </row>
    <row r="79" spans="1:14" ht="12.75">
      <c r="A79" s="9" t="s">
        <v>441</v>
      </c>
      <c r="B79" s="10" t="s">
        <v>442</v>
      </c>
      <c r="E79" s="23">
        <f t="shared" si="8"/>
        <v>0</v>
      </c>
      <c r="F79" s="5">
        <f t="shared" si="10"/>
        <v>0</v>
      </c>
      <c r="G79" s="6">
        <f>18</f>
        <v>18</v>
      </c>
      <c r="H79" s="5">
        <f t="shared" si="11"/>
        <v>0.014539579967689823</v>
      </c>
      <c r="I79" s="6">
        <f>45</f>
        <v>45</v>
      </c>
      <c r="J79" s="5">
        <f t="shared" si="12"/>
        <v>0.006582796957284962</v>
      </c>
      <c r="K79" s="15">
        <f t="shared" si="9"/>
        <v>0.007040792308324929</v>
      </c>
      <c r="L79" s="119"/>
      <c r="M79" s="123">
        <f t="shared" si="13"/>
        <v>1669.7033572240143</v>
      </c>
      <c r="N79" s="55"/>
    </row>
    <row r="80" spans="1:14" ht="12.75">
      <c r="A80" s="9" t="s">
        <v>443</v>
      </c>
      <c r="B80" s="10" t="s">
        <v>444</v>
      </c>
      <c r="E80" s="23">
        <f t="shared" si="8"/>
        <v>0</v>
      </c>
      <c r="F80" s="5">
        <f t="shared" si="10"/>
        <v>0</v>
      </c>
      <c r="G80" s="6">
        <f>1</f>
        <v>1</v>
      </c>
      <c r="H80" s="5">
        <f t="shared" si="11"/>
        <v>0.0008077544426494346</v>
      </c>
      <c r="I80" s="6">
        <f>8</f>
        <v>8</v>
      </c>
      <c r="J80" s="5">
        <f t="shared" si="12"/>
        <v>0.0011702750146284377</v>
      </c>
      <c r="K80" s="15">
        <f t="shared" si="9"/>
        <v>0.0006593431524259574</v>
      </c>
      <c r="L80" s="119"/>
      <c r="M80" s="123">
        <f t="shared" si="13"/>
        <v>156.36130522790586</v>
      </c>
      <c r="N80" s="55"/>
    </row>
    <row r="81" spans="1:14" ht="12.75">
      <c r="A81" s="9" t="s">
        <v>445</v>
      </c>
      <c r="B81" s="10" t="s">
        <v>446</v>
      </c>
      <c r="C81" s="11">
        <f>1</f>
        <v>1</v>
      </c>
      <c r="E81" s="23">
        <f t="shared" si="8"/>
        <v>1</v>
      </c>
      <c r="F81" s="5">
        <f t="shared" si="10"/>
        <v>0.00017461148943600488</v>
      </c>
      <c r="G81" s="6">
        <f>18</f>
        <v>18</v>
      </c>
      <c r="H81" s="5">
        <f t="shared" si="11"/>
        <v>0.014539579967689823</v>
      </c>
      <c r="I81" s="6">
        <f>60</f>
        <v>60</v>
      </c>
      <c r="J81" s="5">
        <f t="shared" si="12"/>
        <v>0.008777062609713282</v>
      </c>
      <c r="K81" s="15">
        <f t="shared" si="9"/>
        <v>0.007830418022279703</v>
      </c>
      <c r="L81" s="119"/>
      <c r="M81" s="123">
        <f t="shared" si="13"/>
        <v>1856.9607918712188</v>
      </c>
      <c r="N81" s="55"/>
    </row>
    <row r="82" spans="1:14" ht="12.75">
      <c r="A82" s="9" t="s">
        <v>447</v>
      </c>
      <c r="B82" s="10" t="s">
        <v>448</v>
      </c>
      <c r="C82" s="11">
        <f>413</f>
        <v>413</v>
      </c>
      <c r="D82" s="11">
        <f>1</f>
        <v>1</v>
      </c>
      <c r="E82" s="23">
        <f t="shared" si="8"/>
        <v>414</v>
      </c>
      <c r="F82" s="5">
        <f t="shared" si="10"/>
        <v>0.07228915662650602</v>
      </c>
      <c r="G82" s="6">
        <f>24</f>
        <v>24</v>
      </c>
      <c r="H82" s="5">
        <f t="shared" si="11"/>
        <v>0.01938610662358643</v>
      </c>
      <c r="I82" s="6">
        <f>130</f>
        <v>130</v>
      </c>
      <c r="J82" s="5">
        <f t="shared" si="12"/>
        <v>0.019016968987712112</v>
      </c>
      <c r="K82" s="15">
        <f t="shared" si="9"/>
        <v>0.036897410745934854</v>
      </c>
      <c r="L82" s="119"/>
      <c r="M82" s="123">
        <f t="shared" si="13"/>
        <v>8750.113324961563</v>
      </c>
      <c r="N82" s="55"/>
    </row>
    <row r="83" spans="1:14" ht="12.75">
      <c r="A83" s="9" t="s">
        <v>449</v>
      </c>
      <c r="B83" s="10" t="s">
        <v>450</v>
      </c>
      <c r="E83" s="23">
        <f t="shared" si="8"/>
        <v>0</v>
      </c>
      <c r="F83" s="5">
        <f t="shared" si="10"/>
        <v>0</v>
      </c>
      <c r="H83" s="5">
        <f t="shared" si="11"/>
        <v>0</v>
      </c>
      <c r="I83" s="6">
        <f>7</f>
        <v>7</v>
      </c>
      <c r="J83" s="5">
        <f t="shared" si="12"/>
        <v>0.001023990637799883</v>
      </c>
      <c r="K83" s="15">
        <f t="shared" si="9"/>
        <v>0.000341330212599961</v>
      </c>
      <c r="L83" s="119"/>
      <c r="M83" s="123">
        <f t="shared" si="13"/>
        <v>80.94546422371758</v>
      </c>
      <c r="N83" s="55"/>
    </row>
    <row r="84" spans="1:14" ht="12.75">
      <c r="A84" s="9" t="s">
        <v>451</v>
      </c>
      <c r="B84" s="10" t="s">
        <v>452</v>
      </c>
      <c r="C84" s="11">
        <f>278</f>
        <v>278</v>
      </c>
      <c r="E84" s="23">
        <f t="shared" si="8"/>
        <v>278</v>
      </c>
      <c r="F84" s="5">
        <f t="shared" si="10"/>
        <v>0.04854199406320936</v>
      </c>
      <c r="G84" s="6">
        <f>5+3+4+3+3+3+3+3+3+3+3+4+4+3+4+4+4+4+4+4+4+4+4+4+4</f>
        <v>91</v>
      </c>
      <c r="H84" s="5">
        <f t="shared" si="11"/>
        <v>0.07350565428109855</v>
      </c>
      <c r="I84" s="6">
        <f>147</f>
        <v>147</v>
      </c>
      <c r="J84" s="5">
        <f t="shared" si="12"/>
        <v>0.02150380339379754</v>
      </c>
      <c r="K84" s="15">
        <f t="shared" si="9"/>
        <v>0.04785048391270182</v>
      </c>
      <c r="L84" s="119"/>
      <c r="M84" s="123">
        <f t="shared" si="13"/>
        <v>11347.602675250617</v>
      </c>
      <c r="N84" s="55"/>
    </row>
    <row r="85" spans="1:14" ht="12.75">
      <c r="A85" s="9" t="s">
        <v>453</v>
      </c>
      <c r="B85" s="10" t="s">
        <v>454</v>
      </c>
      <c r="C85" s="11">
        <f>4</f>
        <v>4</v>
      </c>
      <c r="D85" s="11">
        <f>1</f>
        <v>1</v>
      </c>
      <c r="E85" s="23">
        <f t="shared" si="8"/>
        <v>5</v>
      </c>
      <c r="F85" s="5">
        <f t="shared" si="10"/>
        <v>0.0008730574471800245</v>
      </c>
      <c r="G85" s="6">
        <f>18</f>
        <v>18</v>
      </c>
      <c r="H85" s="5">
        <f t="shared" si="11"/>
        <v>0.014539579967689823</v>
      </c>
      <c r="I85" s="6">
        <f>66</f>
        <v>66</v>
      </c>
      <c r="J85" s="5">
        <f t="shared" si="12"/>
        <v>0.00965476887068461</v>
      </c>
      <c r="K85" s="15">
        <f t="shared" si="9"/>
        <v>0.008355802095184819</v>
      </c>
      <c r="L85" s="119"/>
      <c r="M85" s="123">
        <f t="shared" si="13"/>
        <v>1981.554092162788</v>
      </c>
      <c r="N85" s="55"/>
    </row>
    <row r="86" spans="1:14" ht="12.75">
      <c r="A86" s="9" t="s">
        <v>455</v>
      </c>
      <c r="B86" s="10" t="s">
        <v>456</v>
      </c>
      <c r="C86" s="11">
        <f>61</f>
        <v>61</v>
      </c>
      <c r="D86" s="11">
        <f>1</f>
        <v>1</v>
      </c>
      <c r="E86" s="23">
        <f t="shared" si="8"/>
        <v>62</v>
      </c>
      <c r="F86" s="5">
        <f t="shared" si="10"/>
        <v>0.010825912345032303</v>
      </c>
      <c r="G86" s="6">
        <f>29</f>
        <v>29</v>
      </c>
      <c r="H86" s="5">
        <f t="shared" si="11"/>
        <v>0.023424878836833602</v>
      </c>
      <c r="I86" s="6">
        <f>588</f>
        <v>588</v>
      </c>
      <c r="J86" s="5">
        <f t="shared" si="12"/>
        <v>0.08601521357519017</v>
      </c>
      <c r="K86" s="15">
        <f t="shared" si="9"/>
        <v>0.04008866825235202</v>
      </c>
      <c r="L86" s="119"/>
      <c r="M86" s="123">
        <f t="shared" si="13"/>
        <v>9506.910733391123</v>
      </c>
      <c r="N86" s="55"/>
    </row>
    <row r="87" spans="1:14" ht="12.75">
      <c r="A87" s="9" t="s">
        <v>457</v>
      </c>
      <c r="B87" s="10" t="s">
        <v>458</v>
      </c>
      <c r="C87" s="11">
        <f>1</f>
        <v>1</v>
      </c>
      <c r="D87" s="11">
        <f>1</f>
        <v>1</v>
      </c>
      <c r="E87" s="23">
        <f t="shared" si="8"/>
        <v>2</v>
      </c>
      <c r="F87" s="5">
        <f t="shared" si="10"/>
        <v>0.00034922297887200976</v>
      </c>
      <c r="G87" s="6">
        <f>7</f>
        <v>7</v>
      </c>
      <c r="H87" s="5">
        <f t="shared" si="11"/>
        <v>0.005654281098546042</v>
      </c>
      <c r="I87" s="6">
        <f>70</f>
        <v>70</v>
      </c>
      <c r="J87" s="5">
        <f t="shared" si="12"/>
        <v>0.01023990637799883</v>
      </c>
      <c r="K87" s="15">
        <f t="shared" si="9"/>
        <v>0.005414470151805627</v>
      </c>
      <c r="L87" s="119"/>
      <c r="M87" s="123">
        <f t="shared" si="13"/>
        <v>1284.0258019498247</v>
      </c>
      <c r="N87" s="55"/>
    </row>
    <row r="88" spans="1:14" ht="12.75">
      <c r="A88" s="9" t="s">
        <v>459</v>
      </c>
      <c r="B88" s="10" t="s">
        <v>460</v>
      </c>
      <c r="E88" s="23">
        <f t="shared" si="8"/>
        <v>0</v>
      </c>
      <c r="F88" s="5">
        <f t="shared" si="10"/>
        <v>0</v>
      </c>
      <c r="H88" s="5">
        <f t="shared" si="11"/>
        <v>0</v>
      </c>
      <c r="I88" s="6">
        <f>8</f>
        <v>8</v>
      </c>
      <c r="J88" s="5">
        <f t="shared" si="12"/>
        <v>0.0011702750146284377</v>
      </c>
      <c r="K88" s="15">
        <f t="shared" si="9"/>
        <v>0.0003900916715428126</v>
      </c>
      <c r="L88" s="119"/>
      <c r="M88" s="123">
        <f t="shared" si="13"/>
        <v>92.50910196996296</v>
      </c>
      <c r="N88" s="55"/>
    </row>
    <row r="89" spans="1:14" ht="12.75">
      <c r="A89" s="9" t="s">
        <v>461</v>
      </c>
      <c r="B89" s="10" t="s">
        <v>462</v>
      </c>
      <c r="C89" s="11">
        <f>36</f>
        <v>36</v>
      </c>
      <c r="D89" s="11">
        <f>25</f>
        <v>25</v>
      </c>
      <c r="E89" s="23">
        <f t="shared" si="8"/>
        <v>61</v>
      </c>
      <c r="F89" s="5">
        <f t="shared" si="10"/>
        <v>0.010651300855596298</v>
      </c>
      <c r="H89" s="5">
        <f t="shared" si="11"/>
        <v>0</v>
      </c>
      <c r="I89" s="6">
        <f>457</f>
        <v>457</v>
      </c>
      <c r="J89" s="5">
        <f t="shared" si="12"/>
        <v>0.0668519602106495</v>
      </c>
      <c r="K89" s="15">
        <f t="shared" si="9"/>
        <v>0.025834420355415267</v>
      </c>
      <c r="L89" s="119"/>
      <c r="M89" s="123">
        <f t="shared" si="13"/>
        <v>6126.557425699112</v>
      </c>
      <c r="N89" s="55"/>
    </row>
    <row r="90" spans="1:14" ht="12.75">
      <c r="A90" s="9" t="s">
        <v>463</v>
      </c>
      <c r="B90" s="10" t="s">
        <v>464</v>
      </c>
      <c r="E90" s="23">
        <f t="shared" si="8"/>
        <v>0</v>
      </c>
      <c r="F90" s="5">
        <f t="shared" si="10"/>
        <v>0</v>
      </c>
      <c r="H90" s="5">
        <f t="shared" si="11"/>
        <v>0</v>
      </c>
      <c r="I90" s="6">
        <f>8</f>
        <v>8</v>
      </c>
      <c r="J90" s="5">
        <f t="shared" si="12"/>
        <v>0.0011702750146284377</v>
      </c>
      <c r="K90" s="15">
        <f t="shared" si="9"/>
        <v>0.0003900916715428126</v>
      </c>
      <c r="L90" s="119"/>
      <c r="M90" s="123">
        <f t="shared" si="13"/>
        <v>92.50910196996296</v>
      </c>
      <c r="N90" s="55"/>
    </row>
    <row r="91" spans="1:14" ht="12.75">
      <c r="A91" s="9" t="s">
        <v>465</v>
      </c>
      <c r="B91" s="10" t="s">
        <v>466</v>
      </c>
      <c r="E91" s="23">
        <f t="shared" si="8"/>
        <v>0</v>
      </c>
      <c r="F91" s="5">
        <f t="shared" si="10"/>
        <v>0</v>
      </c>
      <c r="H91" s="5">
        <f t="shared" si="11"/>
        <v>0</v>
      </c>
      <c r="I91" s="6">
        <f>9</f>
        <v>9</v>
      </c>
      <c r="J91" s="5">
        <f t="shared" si="12"/>
        <v>0.0013165593914569924</v>
      </c>
      <c r="K91" s="15">
        <f t="shared" si="9"/>
        <v>0.0004388531304856641</v>
      </c>
      <c r="L91" s="119"/>
      <c r="M91" s="123">
        <f t="shared" si="13"/>
        <v>104.0727397162083</v>
      </c>
      <c r="N91" s="55"/>
    </row>
    <row r="92" spans="1:14" ht="13.5" thickBot="1">
      <c r="A92" s="24" t="s">
        <v>467</v>
      </c>
      <c r="B92" s="28"/>
      <c r="C92" s="24">
        <f aca="true" t="shared" si="14" ref="C92:J92">SUM(C7:C91)</f>
        <v>5085</v>
      </c>
      <c r="D92" s="24">
        <f t="shared" si="14"/>
        <v>642</v>
      </c>
      <c r="E92" s="24">
        <f t="shared" si="14"/>
        <v>5727</v>
      </c>
      <c r="F92" s="25">
        <f t="shared" si="14"/>
        <v>0.9999999999999997</v>
      </c>
      <c r="G92" s="1">
        <f t="shared" si="14"/>
        <v>1238</v>
      </c>
      <c r="H92" s="25">
        <f t="shared" si="14"/>
        <v>1.0000000000000002</v>
      </c>
      <c r="I92" s="1">
        <f t="shared" si="14"/>
        <v>6836</v>
      </c>
      <c r="J92" s="25">
        <f t="shared" si="14"/>
        <v>1</v>
      </c>
      <c r="K92" s="15">
        <f t="shared" si="9"/>
        <v>1</v>
      </c>
      <c r="L92" s="131"/>
      <c r="M92" s="133">
        <v>237147.0829</v>
      </c>
      <c r="N92" s="75"/>
    </row>
    <row r="94" ht="12.75">
      <c r="M94" s="134">
        <f>SUM(M7:M91)</f>
        <v>237147.0829</v>
      </c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pane xSplit="1" ySplit="5" topLeftCell="B6" activePane="bottomRight" state="frozen"/>
      <selection pane="topLeft" activeCell="M22" sqref="M22:N22"/>
      <selection pane="topRight" activeCell="M22" sqref="M22:N22"/>
      <selection pane="bottomLeft" activeCell="M22" sqref="M22:N22"/>
      <selection pane="bottomRight" activeCell="M22" sqref="M22:N22"/>
    </sheetView>
  </sheetViews>
  <sheetFormatPr defaultColWidth="6.8515625" defaultRowHeight="12.75"/>
  <cols>
    <col min="1" max="1" width="29.8515625" style="9" bestFit="1" customWidth="1"/>
    <col min="2" max="2" width="7.57421875" style="10" hidden="1" customWidth="1"/>
    <col min="3" max="3" width="4.00390625" style="11" hidden="1" customWidth="1"/>
    <col min="4" max="4" width="2.421875" style="11" hidden="1" customWidth="1"/>
    <col min="5" max="5" width="7.28125" style="4" hidden="1" customWidth="1"/>
    <col min="6" max="6" width="7.28125" style="5" hidden="1" customWidth="1"/>
    <col min="7" max="7" width="11.7109375" style="6" hidden="1" customWidth="1"/>
    <col min="8" max="8" width="7.00390625" style="5" hidden="1" customWidth="1"/>
    <col min="9" max="9" width="15.00390625" style="6" hidden="1" customWidth="1"/>
    <col min="10" max="10" width="7.00390625" style="5" hidden="1" customWidth="1"/>
    <col min="11" max="11" width="8.57421875" style="7" hidden="1" customWidth="1"/>
    <col min="12" max="12" width="6.8515625" style="9" customWidth="1"/>
    <col min="13" max="13" width="8.7109375" style="9" bestFit="1" customWidth="1"/>
    <col min="14" max="16384" width="6.8515625" style="9" customWidth="1"/>
  </cols>
  <sheetData>
    <row r="1" spans="1:4" ht="12.75" customHeight="1">
      <c r="A1" s="1" t="s">
        <v>0</v>
      </c>
      <c r="B1" s="2"/>
      <c r="C1" s="3"/>
      <c r="D1" s="3"/>
    </row>
    <row r="2" spans="1:4" ht="13.5" thickBot="1">
      <c r="A2" s="1" t="s">
        <v>2</v>
      </c>
      <c r="B2" s="2"/>
      <c r="C2" s="3"/>
      <c r="D2" s="3"/>
    </row>
    <row r="3" spans="9:14" ht="12.75">
      <c r="I3" s="6" t="s">
        <v>3</v>
      </c>
      <c r="L3" s="158" t="s">
        <v>1</v>
      </c>
      <c r="M3" s="159"/>
      <c r="N3" s="160"/>
    </row>
    <row r="4" spans="3:14" ht="13.5" thickBot="1">
      <c r="C4" s="13"/>
      <c r="D4" s="13"/>
      <c r="E4" s="14" t="s">
        <v>4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15" t="s">
        <v>7</v>
      </c>
      <c r="L4" s="161"/>
      <c r="M4" s="162"/>
      <c r="N4" s="163"/>
    </row>
    <row r="5" spans="1:14" ht="12.75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5" t="s">
        <v>13</v>
      </c>
      <c r="G5" s="20" t="s">
        <v>14</v>
      </c>
      <c r="H5" s="5" t="s">
        <v>13</v>
      </c>
      <c r="I5" s="20" t="s">
        <v>15</v>
      </c>
      <c r="J5" s="5" t="s">
        <v>13</v>
      </c>
      <c r="K5" s="15" t="s">
        <v>16</v>
      </c>
      <c r="L5" s="164" t="s">
        <v>610</v>
      </c>
      <c r="M5" s="165"/>
      <c r="N5" s="166"/>
    </row>
    <row r="6" spans="1:14" ht="12.75">
      <c r="A6" s="1" t="s">
        <v>468</v>
      </c>
      <c r="B6" s="2"/>
      <c r="C6" s="3"/>
      <c r="D6" s="3"/>
      <c r="K6" s="15"/>
      <c r="L6" s="119"/>
      <c r="M6" s="120"/>
      <c r="N6" s="55"/>
    </row>
    <row r="7" spans="1:14" ht="12.75">
      <c r="A7" s="9" t="s">
        <v>469</v>
      </c>
      <c r="B7" s="10" t="s">
        <v>470</v>
      </c>
      <c r="C7" s="11">
        <f>13</f>
        <v>13</v>
      </c>
      <c r="D7" s="11">
        <f>8</f>
        <v>8</v>
      </c>
      <c r="E7" s="23">
        <f aca="true" t="shared" si="0" ref="E7:E13">C7+D7</f>
        <v>21</v>
      </c>
      <c r="F7" s="5">
        <f>+E7/E$14</f>
        <v>1</v>
      </c>
      <c r="G7" s="6">
        <f>17+13+2+1</f>
        <v>33</v>
      </c>
      <c r="H7" s="5">
        <f>+G7/G$14</f>
        <v>0.55</v>
      </c>
      <c r="I7" s="6">
        <f>54</f>
        <v>54</v>
      </c>
      <c r="J7" s="5">
        <f>+I7/I$14</f>
        <v>0.1806020066889632</v>
      </c>
      <c r="K7" s="15">
        <f aca="true" t="shared" si="1" ref="K7:K14">+(F7+H7+J7)/3</f>
        <v>0.5768673355629877</v>
      </c>
      <c r="L7" s="119"/>
      <c r="M7" s="123">
        <f aca="true" t="shared" si="2" ref="M7:M13">K7*$M$14</f>
        <v>3588.5778209253067</v>
      </c>
      <c r="N7" s="55"/>
    </row>
    <row r="8" spans="1:14" ht="12.75">
      <c r="A8" s="9" t="s">
        <v>471</v>
      </c>
      <c r="B8" s="10" t="s">
        <v>472</v>
      </c>
      <c r="E8" s="23">
        <f t="shared" si="0"/>
        <v>0</v>
      </c>
      <c r="F8" s="5">
        <f aca="true" t="shared" si="3" ref="F8:F13">+E8/E$14</f>
        <v>0</v>
      </c>
      <c r="H8" s="5">
        <f aca="true" t="shared" si="4" ref="H8:H13">+G8/G$14</f>
        <v>0</v>
      </c>
      <c r="I8" s="6">
        <f>19</f>
        <v>19</v>
      </c>
      <c r="J8" s="5">
        <f aca="true" t="shared" si="5" ref="J8:J13">+I8/I$14</f>
        <v>0.06354515050167224</v>
      </c>
      <c r="K8" s="15">
        <f t="shared" si="1"/>
        <v>0.021181716833890748</v>
      </c>
      <c r="L8" s="119"/>
      <c r="M8" s="123">
        <f t="shared" si="2"/>
        <v>131.76727915273133</v>
      </c>
      <c r="N8" s="55"/>
    </row>
    <row r="9" spans="1:14" ht="12.75">
      <c r="A9" s="9" t="s">
        <v>101</v>
      </c>
      <c r="B9" s="10" t="s">
        <v>473</v>
      </c>
      <c r="E9" s="23">
        <f t="shared" si="0"/>
        <v>0</v>
      </c>
      <c r="F9" s="5">
        <f t="shared" si="3"/>
        <v>0</v>
      </c>
      <c r="H9" s="5">
        <f t="shared" si="4"/>
        <v>0</v>
      </c>
      <c r="I9" s="6">
        <f>6</f>
        <v>6</v>
      </c>
      <c r="J9" s="5">
        <f t="shared" si="5"/>
        <v>0.020066889632107024</v>
      </c>
      <c r="K9" s="15">
        <f t="shared" si="1"/>
        <v>0.006688963210702341</v>
      </c>
      <c r="L9" s="119"/>
      <c r="M9" s="123">
        <f t="shared" si="2"/>
        <v>41.610719732441474</v>
      </c>
      <c r="N9" s="55"/>
    </row>
    <row r="10" spans="1:14" ht="12.75">
      <c r="A10" s="9" t="s">
        <v>74</v>
      </c>
      <c r="B10" s="10" t="s">
        <v>474</v>
      </c>
      <c r="E10" s="23">
        <f t="shared" si="0"/>
        <v>0</v>
      </c>
      <c r="F10" s="5">
        <f t="shared" si="3"/>
        <v>0</v>
      </c>
      <c r="H10" s="5">
        <f t="shared" si="4"/>
        <v>0</v>
      </c>
      <c r="I10" s="6">
        <f>93</f>
        <v>93</v>
      </c>
      <c r="J10" s="5">
        <f t="shared" si="5"/>
        <v>0.3110367892976589</v>
      </c>
      <c r="K10" s="15">
        <f t="shared" si="1"/>
        <v>0.10367892976588629</v>
      </c>
      <c r="L10" s="119"/>
      <c r="M10" s="123">
        <f t="shared" si="2"/>
        <v>644.9661558528428</v>
      </c>
      <c r="N10" s="55"/>
    </row>
    <row r="11" spans="1:14" ht="12.75">
      <c r="A11" s="9" t="s">
        <v>170</v>
      </c>
      <c r="B11" s="10" t="s">
        <v>475</v>
      </c>
      <c r="E11" s="23">
        <f t="shared" si="0"/>
        <v>0</v>
      </c>
      <c r="F11" s="5">
        <f t="shared" si="3"/>
        <v>0</v>
      </c>
      <c r="G11" s="6">
        <f>22</f>
        <v>22</v>
      </c>
      <c r="H11" s="5">
        <f t="shared" si="4"/>
        <v>0.36666666666666664</v>
      </c>
      <c r="I11" s="6">
        <f>123</f>
        <v>123</v>
      </c>
      <c r="J11" s="5">
        <f t="shared" si="5"/>
        <v>0.411371237458194</v>
      </c>
      <c r="K11" s="15">
        <f t="shared" si="1"/>
        <v>0.2593459680416202</v>
      </c>
      <c r="L11" s="119"/>
      <c r="M11" s="123">
        <f t="shared" si="2"/>
        <v>1613.3400722928277</v>
      </c>
      <c r="N11" s="55"/>
    </row>
    <row r="12" spans="1:14" ht="12.75">
      <c r="A12" s="9" t="s">
        <v>476</v>
      </c>
      <c r="B12" s="10" t="s">
        <v>477</v>
      </c>
      <c r="E12" s="23">
        <f t="shared" si="0"/>
        <v>0</v>
      </c>
      <c r="F12" s="5">
        <f t="shared" si="3"/>
        <v>0</v>
      </c>
      <c r="G12" s="6">
        <f>5</f>
        <v>5</v>
      </c>
      <c r="H12" s="5">
        <f t="shared" si="4"/>
        <v>0.08333333333333333</v>
      </c>
      <c r="J12" s="5">
        <f t="shared" si="5"/>
        <v>0</v>
      </c>
      <c r="K12" s="15">
        <f t="shared" si="1"/>
        <v>0.027777777777777776</v>
      </c>
      <c r="L12" s="119"/>
      <c r="M12" s="123">
        <f t="shared" si="2"/>
        <v>172.8000722222222</v>
      </c>
      <c r="N12" s="55"/>
    </row>
    <row r="13" spans="1:14" ht="12.75">
      <c r="A13" s="9" t="s">
        <v>478</v>
      </c>
      <c r="B13" s="10" t="s">
        <v>479</v>
      </c>
      <c r="E13" s="23">
        <f t="shared" si="0"/>
        <v>0</v>
      </c>
      <c r="F13" s="5">
        <f t="shared" si="3"/>
        <v>0</v>
      </c>
      <c r="H13" s="5">
        <f t="shared" si="4"/>
        <v>0</v>
      </c>
      <c r="I13" s="6">
        <f>4</f>
        <v>4</v>
      </c>
      <c r="J13" s="5">
        <f t="shared" si="5"/>
        <v>0.013377926421404682</v>
      </c>
      <c r="K13" s="15">
        <f t="shared" si="1"/>
        <v>0.004459308807134894</v>
      </c>
      <c r="L13" s="119"/>
      <c r="M13" s="123">
        <f t="shared" si="2"/>
        <v>27.74047982162765</v>
      </c>
      <c r="N13" s="55"/>
    </row>
    <row r="14" spans="1:14" ht="13.5" thickBot="1">
      <c r="A14" s="24" t="s">
        <v>614</v>
      </c>
      <c r="B14" s="28"/>
      <c r="C14" s="24">
        <f aca="true" t="shared" si="6" ref="C14:J14">SUM(C7:C13)</f>
        <v>13</v>
      </c>
      <c r="D14" s="24">
        <f t="shared" si="6"/>
        <v>8</v>
      </c>
      <c r="E14" s="24">
        <f t="shared" si="6"/>
        <v>21</v>
      </c>
      <c r="F14" s="25">
        <f t="shared" si="6"/>
        <v>1</v>
      </c>
      <c r="G14" s="1">
        <f t="shared" si="6"/>
        <v>60</v>
      </c>
      <c r="H14" s="25">
        <f t="shared" si="6"/>
        <v>1</v>
      </c>
      <c r="I14" s="1">
        <f t="shared" si="6"/>
        <v>299</v>
      </c>
      <c r="J14" s="25">
        <f t="shared" si="6"/>
        <v>1</v>
      </c>
      <c r="K14" s="15">
        <f t="shared" si="1"/>
        <v>1</v>
      </c>
      <c r="L14" s="131"/>
      <c r="M14" s="133">
        <v>6220.8026</v>
      </c>
      <c r="N14" s="75"/>
    </row>
    <row r="15" ht="12.75">
      <c r="M15" s="134"/>
    </row>
    <row r="16" ht="12.75">
      <c r="M16" s="134">
        <f>SUM(M7:M13)</f>
        <v>6220.8026</v>
      </c>
    </row>
  </sheetData>
  <sheetProtection/>
  <mergeCells count="2">
    <mergeCell ref="L3:N4"/>
    <mergeCell ref="L5:N5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aortiz</dc:creator>
  <cp:keywords/>
  <dc:description/>
  <cp:lastModifiedBy>neburkjz</cp:lastModifiedBy>
  <cp:lastPrinted>2011-12-15T16:35:43Z</cp:lastPrinted>
  <dcterms:created xsi:type="dcterms:W3CDTF">2011-11-19T19:21:51Z</dcterms:created>
  <dcterms:modified xsi:type="dcterms:W3CDTF">2011-12-17T00:33:38Z</dcterms:modified>
  <cp:category/>
  <cp:version/>
  <cp:contentType/>
  <cp:contentStatus/>
</cp:coreProperties>
</file>