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3245" windowHeight="8040" tabRatio="904" activeTab="0"/>
  </bookViews>
  <sheets>
    <sheet name="FY12 to FY11 Comparison" sheetId="1" r:id="rId1"/>
    <sheet name="DCM" sheetId="2" r:id="rId2"/>
    <sheet name="DCS" sheetId="3" r:id="rId3"/>
    <sheet name="DCJ" sheetId="4" r:id="rId4"/>
    <sheet name="DCHS" sheetId="5" r:id="rId5"/>
    <sheet name="DOH" sheetId="6" r:id="rId6"/>
    <sheet name="LIB" sheetId="7" r:id="rId7"/>
    <sheet name="NONDEPT" sheetId="8" r:id="rId8"/>
    <sheet name="DA" sheetId="9" r:id="rId9"/>
    <sheet name="MCSO" sheetId="10" r:id="rId10"/>
  </sheets>
  <definedNames>
    <definedName name="_xlnm.Print_Area" localSheetId="8">'DA'!$A$1:$L$26</definedName>
    <definedName name="_xlnm.Print_Area" localSheetId="4">'DCHS'!$A$1:$L$54</definedName>
    <definedName name="_xlnm.Print_Area" localSheetId="3">'DCJ'!$A$1:$L$49</definedName>
    <definedName name="_xlnm.Print_Area" localSheetId="1">'DCM'!$A$1:$L$42</definedName>
    <definedName name="_xlnm.Print_Area" localSheetId="2">'DCS'!$A$1:$L$22</definedName>
    <definedName name="_xlnm.Print_Area" localSheetId="5">'DOH'!$A$1:$L$100</definedName>
    <definedName name="_xlnm.Print_Area" localSheetId="0">'FY12 to FY11 Comparison'!$A$1:$R$47</definedName>
    <definedName name="_xlnm.Print_Area" localSheetId="6">'LIB'!$A$1:$L$14</definedName>
    <definedName name="_xlnm.Print_Area" localSheetId="9">'MCSO'!$A$1:$L$32</definedName>
    <definedName name="_xlnm.Print_Area" localSheetId="7">'NONDEPT'!$A$1:$L$25</definedName>
    <definedName name="_xlnm.Print_Titles" localSheetId="5">'DOH'!$1:$6</definedName>
  </definedNames>
  <calcPr fullCalcOnLoad="1"/>
</workbook>
</file>

<file path=xl/comments1.xml><?xml version="1.0" encoding="utf-8"?>
<comments xmlns="http://schemas.openxmlformats.org/spreadsheetml/2006/main">
  <authors>
    <author>aortiz</author>
  </authors>
  <commentList>
    <comment ref="K4" authorId="0">
      <text>
        <r>
          <rPr>
            <b/>
            <sz val="8"/>
            <rFont val="Tahoma"/>
            <family val="0"/>
          </rPr>
          <t>aortiz:</t>
        </r>
        <r>
          <rPr>
            <sz val="8"/>
            <rFont val="Tahoma"/>
            <family val="0"/>
          </rPr>
          <t xml:space="preserve">
Allocation equals total exp less projected external revenues. (charges for svcs &amp;/or sales to the public).
Excluded constraint is it's been previously collected and not spent and siting in BWC 
</t>
        </r>
      </text>
    </comment>
  </commentList>
</comments>
</file>

<file path=xl/sharedStrings.xml><?xml version="1.0" encoding="utf-8"?>
<sst xmlns="http://schemas.openxmlformats.org/spreadsheetml/2006/main" count="867" uniqueCount="635">
  <si>
    <t>Records Center Activities</t>
  </si>
  <si>
    <t>Budget in 60460 for Records Services</t>
  </si>
  <si>
    <t>Record</t>
  </si>
  <si>
    <t xml:space="preserve">% of </t>
  </si>
  <si>
    <t>Boxes</t>
  </si>
  <si>
    <t>Average</t>
  </si>
  <si>
    <t>Agency</t>
  </si>
  <si>
    <t>AGCCD</t>
  </si>
  <si>
    <t>Actions</t>
  </si>
  <si>
    <t>Total</t>
  </si>
  <si>
    <t>Accessioned</t>
  </si>
  <si>
    <t>Shelved</t>
  </si>
  <si>
    <t>of %'s</t>
  </si>
  <si>
    <t>Department of County Management</t>
  </si>
  <si>
    <t>Accounts Payable</t>
  </si>
  <si>
    <t>021</t>
  </si>
  <si>
    <t>A&amp;T Records Management</t>
  </si>
  <si>
    <t>010, 015</t>
  </si>
  <si>
    <t>Board of Property Tax Appeal</t>
  </si>
  <si>
    <t>Budget Office</t>
  </si>
  <si>
    <t>176, 259</t>
  </si>
  <si>
    <t>Central Procurement &amp; Contract Administration</t>
  </si>
  <si>
    <t>012, 092</t>
  </si>
  <si>
    <t>Director's Office</t>
  </si>
  <si>
    <t>022, 023</t>
  </si>
  <si>
    <t>Document Recording</t>
  </si>
  <si>
    <t>009</t>
  </si>
  <si>
    <t>Facilities &amp; Property Management</t>
  </si>
  <si>
    <t>005, 417</t>
  </si>
  <si>
    <t>F&amp;PM/Contracts &amp; Procurement</t>
  </si>
  <si>
    <t>418</t>
  </si>
  <si>
    <t>F&amp;PM/Fiscal</t>
  </si>
  <si>
    <t>419</t>
  </si>
  <si>
    <t>F&amp;PM/Operations &amp; Maintenance</t>
  </si>
  <si>
    <t>252</t>
  </si>
  <si>
    <t>F&amp;PM/Planning</t>
  </si>
  <si>
    <t>410</t>
  </si>
  <si>
    <t>F&amp;PM/Property Management</t>
  </si>
  <si>
    <t>420</t>
  </si>
  <si>
    <t>FREDS Administration</t>
  </si>
  <si>
    <t>285</t>
  </si>
  <si>
    <t>FREDS Electronic Services</t>
  </si>
  <si>
    <t>187</t>
  </si>
  <si>
    <t>FREDS Fleet Services</t>
  </si>
  <si>
    <t>304</t>
  </si>
  <si>
    <t>General Ledger</t>
  </si>
  <si>
    <t>026</t>
  </si>
  <si>
    <t>Human Resources - Administration</t>
  </si>
  <si>
    <t>019</t>
  </si>
  <si>
    <t>Human Resouces - Affirmative Action</t>
  </si>
  <si>
    <t>020</t>
  </si>
  <si>
    <t>018</t>
  </si>
  <si>
    <t>Human Resources - Health Promotion/Benefits</t>
  </si>
  <si>
    <t>228</t>
  </si>
  <si>
    <t>Human Resources - Labor Relations</t>
  </si>
  <si>
    <t>016</t>
  </si>
  <si>
    <t>Information Technology - Division Management</t>
  </si>
  <si>
    <t>030</t>
  </si>
  <si>
    <t>Marriage Licenses</t>
  </si>
  <si>
    <t>145</t>
  </si>
  <si>
    <t>Payroll</t>
  </si>
  <si>
    <t>028</t>
  </si>
  <si>
    <t>PERS, Deferred Comp, &amp; Tax Reporting</t>
  </si>
  <si>
    <t>532</t>
  </si>
  <si>
    <t>Property Valuation/Appraisal</t>
  </si>
  <si>
    <t>007</t>
  </si>
  <si>
    <t>Property Valuation/Exemptions</t>
  </si>
  <si>
    <t>008</t>
  </si>
  <si>
    <t>Property Valuation/Technical Support</t>
  </si>
  <si>
    <t>226</t>
  </si>
  <si>
    <t>Risk Management</t>
  </si>
  <si>
    <t>033</t>
  </si>
  <si>
    <t>408</t>
  </si>
  <si>
    <t>Sustainability</t>
  </si>
  <si>
    <t>068</t>
  </si>
  <si>
    <t>Tax Accounting Management &amp; Administration</t>
  </si>
  <si>
    <t>004, 122</t>
  </si>
  <si>
    <t>Tax Collection</t>
  </si>
  <si>
    <t>011</t>
  </si>
  <si>
    <t>031</t>
  </si>
  <si>
    <t>Treasury</t>
  </si>
  <si>
    <t>029</t>
  </si>
  <si>
    <t>DCM Total</t>
  </si>
  <si>
    <t>Community Services</t>
  </si>
  <si>
    <t>Animal Control</t>
  </si>
  <si>
    <t>003</t>
  </si>
  <si>
    <t>Animal Control/Field Services</t>
  </si>
  <si>
    <t>523</t>
  </si>
  <si>
    <t>Animal Control/Shelter Services</t>
  </si>
  <si>
    <t>524</t>
  </si>
  <si>
    <t>Elections</t>
  </si>
  <si>
    <t>017</t>
  </si>
  <si>
    <t>Emergency Management</t>
  </si>
  <si>
    <t>112</t>
  </si>
  <si>
    <t>116</t>
  </si>
  <si>
    <t>Land Use Planning</t>
  </si>
  <si>
    <t>126</t>
  </si>
  <si>
    <t>LUT/Administrative Support</t>
  </si>
  <si>
    <t>520</t>
  </si>
  <si>
    <t>LUT/Bridge Operations &amp; Maintenance</t>
  </si>
  <si>
    <t>263</t>
  </si>
  <si>
    <t>LUT/Fiscal</t>
  </si>
  <si>
    <t>519</t>
  </si>
  <si>
    <t>LUT/Roadway Engineering &amp; Operations</t>
  </si>
  <si>
    <t>140</t>
  </si>
  <si>
    <t>Surveyor</t>
  </si>
  <si>
    <t>120</t>
  </si>
  <si>
    <t>DCS Total</t>
  </si>
  <si>
    <t>Department of Community Justice</t>
  </si>
  <si>
    <t>ACJ Administration</t>
  </si>
  <si>
    <t>341</t>
  </si>
  <si>
    <t>Alternative Community Services</t>
  </si>
  <si>
    <t>080</t>
  </si>
  <si>
    <t>Business Services</t>
  </si>
  <si>
    <t>160</t>
  </si>
  <si>
    <t>Case Bank</t>
  </si>
  <si>
    <t>272</t>
  </si>
  <si>
    <t>Central Probation &amp; Parole</t>
  </si>
  <si>
    <t>174</t>
  </si>
  <si>
    <t>Centralized Intake</t>
  </si>
  <si>
    <t>373</t>
  </si>
  <si>
    <t>Day Reporting Center</t>
  </si>
  <si>
    <t>355</t>
  </si>
  <si>
    <t>Detention Services</t>
  </si>
  <si>
    <t>260</t>
  </si>
  <si>
    <t>Detention Alternatives</t>
  </si>
  <si>
    <t>349</t>
  </si>
  <si>
    <t>156</t>
  </si>
  <si>
    <t>Domestic Violence</t>
  </si>
  <si>
    <t>320</t>
  </si>
  <si>
    <t>DUII Supervision</t>
  </si>
  <si>
    <t>318</t>
  </si>
  <si>
    <t>East Probation &amp; Parole (MTEA)</t>
  </si>
  <si>
    <t>173</t>
  </si>
  <si>
    <t>Enhanced DUII Bench Probation Program</t>
  </si>
  <si>
    <t>442, 494</t>
  </si>
  <si>
    <t>Family Court Services</t>
  </si>
  <si>
    <t>231</t>
  </si>
  <si>
    <t>Family Service Unit</t>
  </si>
  <si>
    <t>481</t>
  </si>
  <si>
    <t>Gresham Probation &amp; Parole</t>
  </si>
  <si>
    <t>180</t>
  </si>
  <si>
    <t>Hearings Unit</t>
  </si>
  <si>
    <t>339</t>
  </si>
  <si>
    <t>Human Resources</t>
  </si>
  <si>
    <t>371</t>
  </si>
  <si>
    <t>Interchange</t>
  </si>
  <si>
    <t>466</t>
  </si>
  <si>
    <t>Intake &amp; Court Svcs/Clean Court</t>
  </si>
  <si>
    <t>475</t>
  </si>
  <si>
    <t>Juvenile Justice Accountability Programs</t>
  </si>
  <si>
    <t>250</t>
  </si>
  <si>
    <t>Juvenile Justice Central Records</t>
  </si>
  <si>
    <t>074</t>
  </si>
  <si>
    <t>Juvenile Justice Skill Development Unit</t>
  </si>
  <si>
    <t>367</t>
  </si>
  <si>
    <t>Londer Learning Center</t>
  </si>
  <si>
    <t>376</t>
  </si>
  <si>
    <t>Mid County Probation &amp; Parole</t>
  </si>
  <si>
    <t>181</t>
  </si>
  <si>
    <t>Northeast Probation &amp; Parole</t>
  </si>
  <si>
    <t>175</t>
  </si>
  <si>
    <t>Pre-Sentence Investigation</t>
  </si>
  <si>
    <t>317</t>
  </si>
  <si>
    <t>Pre-Trial Release Services</t>
  </si>
  <si>
    <t>353</t>
  </si>
  <si>
    <t>Reduced Supervision Team</t>
  </si>
  <si>
    <t>500</t>
  </si>
  <si>
    <t>Research &amp; Evaluation</t>
  </si>
  <si>
    <t>347</t>
  </si>
  <si>
    <t>Transition Services</t>
  </si>
  <si>
    <t>185</t>
  </si>
  <si>
    <t>West Probation &amp; Parole</t>
  </si>
  <si>
    <t>182</t>
  </si>
  <si>
    <t>Work Release Center</t>
  </si>
  <si>
    <t>184</t>
  </si>
  <si>
    <t>DCJ Total</t>
  </si>
  <si>
    <t>Department of County Human Services</t>
  </si>
  <si>
    <t>Addiction Services</t>
  </si>
  <si>
    <t>154</t>
  </si>
  <si>
    <t>Adult Care Home Program</t>
  </si>
  <si>
    <t>153</t>
  </si>
  <si>
    <t>Adult Mental Health Program</t>
  </si>
  <si>
    <t>227</t>
  </si>
  <si>
    <t>Behavioral Health</t>
  </si>
  <si>
    <t>385</t>
  </si>
  <si>
    <t>Business Services - Administration</t>
  </si>
  <si>
    <t>141</t>
  </si>
  <si>
    <t>Business Services - Contracts</t>
  </si>
  <si>
    <t>92, 296</t>
  </si>
  <si>
    <t>Business Services - Finance</t>
  </si>
  <si>
    <t>035, 306</t>
  </si>
  <si>
    <t>Business Services - Human Resources</t>
  </si>
  <si>
    <t>380</t>
  </si>
  <si>
    <t>Child &amp; Adolescent Treatment Services</t>
  </si>
  <si>
    <t>164</t>
  </si>
  <si>
    <t>135</t>
  </si>
  <si>
    <t>DCFS Children, Youth &amp; Family Services</t>
  </si>
  <si>
    <t>079</t>
  </si>
  <si>
    <t>DCHS Directors Office</t>
  </si>
  <si>
    <t>438</t>
  </si>
  <si>
    <t>Developmental Disabilities/Administration</t>
  </si>
  <si>
    <t>444</t>
  </si>
  <si>
    <t>Developmental Disabilities/Adult Services</t>
  </si>
  <si>
    <t>085</t>
  </si>
  <si>
    <t>Developmental Disabilities/Children's Services</t>
  </si>
  <si>
    <t>449</t>
  </si>
  <si>
    <t>DD/Adult Protective Service Program</t>
  </si>
  <si>
    <t>493</t>
  </si>
  <si>
    <t>DD/Community Options Brokerage</t>
  </si>
  <si>
    <t>487</t>
  </si>
  <si>
    <t>DD/Operations &amp; Protective Services</t>
  </si>
  <si>
    <t>439</t>
  </si>
  <si>
    <t>DD/Quality &amp; Specialized Services</t>
  </si>
  <si>
    <t>447</t>
  </si>
  <si>
    <t>DD/Regional Crisis Diversion Services</t>
  </si>
  <si>
    <t>448</t>
  </si>
  <si>
    <t>Domestic Violence Coordinator's Office</t>
  </si>
  <si>
    <t>505</t>
  </si>
  <si>
    <t>DUII Evaluation Program</t>
  </si>
  <si>
    <t>507</t>
  </si>
  <si>
    <t>East Aging Services Office</t>
  </si>
  <si>
    <t>245</t>
  </si>
  <si>
    <t>Managed Care Administration</t>
  </si>
  <si>
    <t>257</t>
  </si>
  <si>
    <t>Mental Health &amp; Addiction Svcs./Admin.</t>
  </si>
  <si>
    <t>078</t>
  </si>
  <si>
    <t>Mid-Area Aging &amp; Disability Services Office</t>
  </si>
  <si>
    <t>039, 453</t>
  </si>
  <si>
    <t>North Disability Services Office</t>
  </si>
  <si>
    <t>332</t>
  </si>
  <si>
    <t>Northeast Aging Services Office</t>
  </si>
  <si>
    <t>036</t>
  </si>
  <si>
    <t>Nursing Facilities Office</t>
  </si>
  <si>
    <t>384</t>
  </si>
  <si>
    <t>OSCP Administration</t>
  </si>
  <si>
    <t>038</t>
  </si>
  <si>
    <t>OSCP Community Partnerships</t>
  </si>
  <si>
    <t>479</t>
  </si>
  <si>
    <t>OSCP Community Services - Housing &amp; Public Works</t>
  </si>
  <si>
    <t>415</t>
  </si>
  <si>
    <t>OSCP Community Services - HSP/EHA/Winter Shelter</t>
  </si>
  <si>
    <t>294</t>
  </si>
  <si>
    <t>OSCP Contracts</t>
  </si>
  <si>
    <t>483</t>
  </si>
  <si>
    <t>OSCP Energy Programs</t>
  </si>
  <si>
    <t>416</t>
  </si>
  <si>
    <t>OSCP Program Support/Budget &amp; Fiscal</t>
  </si>
  <si>
    <t>482</t>
  </si>
  <si>
    <t>OSCP Program Support/Grant Administration</t>
  </si>
  <si>
    <t>414, 485</t>
  </si>
  <si>
    <t>OSCP Program Support/Personnel/Training</t>
  </si>
  <si>
    <t>484</t>
  </si>
  <si>
    <t>OSCP School Linked Services</t>
  </si>
  <si>
    <t>412</t>
  </si>
  <si>
    <t>DCFS Youth Program Office</t>
  </si>
  <si>
    <t>274</t>
  </si>
  <si>
    <t>Public Guardian</t>
  </si>
  <si>
    <t>041</t>
  </si>
  <si>
    <t>Southeast Aging Services Office</t>
  </si>
  <si>
    <t>108</t>
  </si>
  <si>
    <t>West Aging Services Office</t>
  </si>
  <si>
    <t>042</t>
  </si>
  <si>
    <t>West Portland Disability Services Office</t>
  </si>
  <si>
    <t>328</t>
  </si>
  <si>
    <t>DCHS Total</t>
  </si>
  <si>
    <t>Department of Health</t>
  </si>
  <si>
    <t>Accounts Payable, Procurement &amp; Contracting</t>
  </si>
  <si>
    <t>309</t>
  </si>
  <si>
    <t>Administration</t>
  </si>
  <si>
    <t>165</t>
  </si>
  <si>
    <t>Binsmead Clinic</t>
  </si>
  <si>
    <t>300</t>
  </si>
  <si>
    <t>Breast &amp; Cervical Cancer Program</t>
  </si>
  <si>
    <t>271</t>
  </si>
  <si>
    <t>Children's Assessment Service</t>
  </si>
  <si>
    <t>109</t>
  </si>
  <si>
    <t>Cleveland SBHC</t>
  </si>
  <si>
    <t>061</t>
  </si>
  <si>
    <t>Coalition of Community Health Clinics</t>
  </si>
  <si>
    <t>400</t>
  </si>
  <si>
    <t>Corrections Health</t>
  </si>
  <si>
    <t>117</t>
  </si>
  <si>
    <t>Corrections Health - Inverness Jail</t>
  </si>
  <si>
    <t>357</t>
  </si>
  <si>
    <t xml:space="preserve">Corrections Health - Juvenile Services </t>
  </si>
  <si>
    <t>161</t>
  </si>
  <si>
    <t>Dental Services - Administration</t>
  </si>
  <si>
    <t>047, 283</t>
  </si>
  <si>
    <t>Dental Access Program</t>
  </si>
  <si>
    <t>278</t>
  </si>
  <si>
    <t>240</t>
  </si>
  <si>
    <t>Disease Prev &amp; Control/Comm.Disease Control</t>
  </si>
  <si>
    <t>048</t>
  </si>
  <si>
    <t>Disease Prev &amp; Control/Food Handler</t>
  </si>
  <si>
    <t>392</t>
  </si>
  <si>
    <t>ECS Program Management</t>
  </si>
  <si>
    <t>East County Dental Clinic</t>
  </si>
  <si>
    <t>457</t>
  </si>
  <si>
    <t>ECS Cascade East</t>
  </si>
  <si>
    <t>East County Health Clinic</t>
  </si>
  <si>
    <t>049</t>
  </si>
  <si>
    <t>East County Field Office</t>
  </si>
  <si>
    <t>070</t>
  </si>
  <si>
    <t>East County Pharmacy</t>
  </si>
  <si>
    <t>458</t>
  </si>
  <si>
    <t>East County Teen Clinic</t>
  </si>
  <si>
    <t>488, 534</t>
  </si>
  <si>
    <t>East County WIC</t>
  </si>
  <si>
    <t>398</t>
  </si>
  <si>
    <t>Edgefield Manor</t>
  </si>
  <si>
    <t>050</t>
  </si>
  <si>
    <t>Emergency Medical Services</t>
  </si>
  <si>
    <t>495, 051</t>
  </si>
  <si>
    <t>Environmental Health Services</t>
  </si>
  <si>
    <t>144</t>
  </si>
  <si>
    <t>George Middle SBHC</t>
  </si>
  <si>
    <t>224</t>
  </si>
  <si>
    <t>Grant SBHC</t>
  </si>
  <si>
    <t>062</t>
  </si>
  <si>
    <t>Grants Management &amp; Accounting</t>
  </si>
  <si>
    <t>129</t>
  </si>
  <si>
    <t>Health Officer</t>
  </si>
  <si>
    <t>150</t>
  </si>
  <si>
    <t>Healthy Birth Initiative</t>
  </si>
  <si>
    <t>343</t>
  </si>
  <si>
    <t>HIV Care Services</t>
  </si>
  <si>
    <t>121</t>
  </si>
  <si>
    <t>HIV &amp; Hepititis C Community Programs</t>
  </si>
  <si>
    <t>402</t>
  </si>
  <si>
    <t>HIV Health Services Center</t>
  </si>
  <si>
    <t>151</t>
  </si>
  <si>
    <t>305</t>
  </si>
  <si>
    <t>Immunization Unit</t>
  </si>
  <si>
    <t>083</t>
  </si>
  <si>
    <t>Information Systems</t>
  </si>
  <si>
    <t>040</t>
  </si>
  <si>
    <t>Jefferson SBHC</t>
  </si>
  <si>
    <t>055</t>
  </si>
  <si>
    <t>La Clinica de Buena Salud</t>
  </si>
  <si>
    <t>178</t>
  </si>
  <si>
    <t>Laboratory Services</t>
  </si>
  <si>
    <t>056</t>
  </si>
  <si>
    <t>Lane Middle SBHC</t>
  </si>
  <si>
    <t>302</t>
  </si>
  <si>
    <t>Language Services</t>
  </si>
  <si>
    <t>167</t>
  </si>
  <si>
    <t>Lead Poisoning Prevention Program</t>
  </si>
  <si>
    <t>405</t>
  </si>
  <si>
    <t>Lincoln Park SBHC</t>
  </si>
  <si>
    <t>225</t>
  </si>
  <si>
    <t>Medical Accounts Receivable</t>
  </si>
  <si>
    <t>168</t>
  </si>
  <si>
    <t>Madison SBHC</t>
  </si>
  <si>
    <t>063</t>
  </si>
  <si>
    <t>Marshall SBHC</t>
  </si>
  <si>
    <t>057</t>
  </si>
  <si>
    <t>Medical Records Management</t>
  </si>
  <si>
    <t>045</t>
  </si>
  <si>
    <t>Mid County Dental Clinic</t>
  </si>
  <si>
    <t>127</t>
  </si>
  <si>
    <t>Mid County Field Office</t>
  </si>
  <si>
    <t>289</t>
  </si>
  <si>
    <t>Mid County Health Clinic</t>
  </si>
  <si>
    <t>132</t>
  </si>
  <si>
    <t>Mid County Pharmacy</t>
  </si>
  <si>
    <t>350</t>
  </si>
  <si>
    <t>Mid County WIC</t>
  </si>
  <si>
    <t>290</t>
  </si>
  <si>
    <t>MultiCare Dental</t>
  </si>
  <si>
    <t>270</t>
  </si>
  <si>
    <t>Northeast Dental Clinic</t>
  </si>
  <si>
    <t>059</t>
  </si>
  <si>
    <t>Northeast Field Office</t>
  </si>
  <si>
    <t>066</t>
  </si>
  <si>
    <t>Northeast Health Clinic</t>
  </si>
  <si>
    <t>058</t>
  </si>
  <si>
    <t>Northeast Healthy Start</t>
  </si>
  <si>
    <t>522</t>
  </si>
  <si>
    <t>Northeast WIC</t>
  </si>
  <si>
    <t>044</t>
  </si>
  <si>
    <t>ECS Willamette North</t>
  </si>
  <si>
    <t>069</t>
  </si>
  <si>
    <t>North Portland Health Clinic</t>
  </si>
  <si>
    <t>043</t>
  </si>
  <si>
    <t>North Portland Pharmacy</t>
  </si>
  <si>
    <t>324</t>
  </si>
  <si>
    <t>Occupational Health</t>
  </si>
  <si>
    <t>284</t>
  </si>
  <si>
    <t>Pharmacies, Clinic</t>
  </si>
  <si>
    <t>440</t>
  </si>
  <si>
    <t>Parkrose SBHC</t>
  </si>
  <si>
    <t>064</t>
  </si>
  <si>
    <t>Planning &amp; Development</t>
  </si>
  <si>
    <t>315</t>
  </si>
  <si>
    <t>P&amp;D/Program Design &amp; Evaluation</t>
  </si>
  <si>
    <t>Portland Womens' Health Study</t>
  </si>
  <si>
    <t>478</t>
  </si>
  <si>
    <t>Portsmouth SBHC</t>
  </si>
  <si>
    <t>288</t>
  </si>
  <si>
    <t>Primary Care Clinics - Administration</t>
  </si>
  <si>
    <t>381</t>
  </si>
  <si>
    <t>Rockwood Community Clinic</t>
  </si>
  <si>
    <t>445</t>
  </si>
  <si>
    <t>Roosevelt SBHC</t>
  </si>
  <si>
    <t>065</t>
  </si>
  <si>
    <t>SBHC Administration</t>
  </si>
  <si>
    <t>450</t>
  </si>
  <si>
    <t>School &amp; Community Dental Services</t>
  </si>
  <si>
    <t>105</t>
  </si>
  <si>
    <t>Southeast Dental Clinic</t>
  </si>
  <si>
    <t>060</t>
  </si>
  <si>
    <t>Southeast/Westside Field Office</t>
  </si>
  <si>
    <t>067</t>
  </si>
  <si>
    <t>Southeast Health Clinic</t>
  </si>
  <si>
    <t>034</t>
  </si>
  <si>
    <t>Southeast WIC</t>
  </si>
  <si>
    <t>130</t>
  </si>
  <si>
    <t>STD Clinic &amp; Epidemiology</t>
  </si>
  <si>
    <t>071</t>
  </si>
  <si>
    <t>Support Services - Administration</t>
  </si>
  <si>
    <t>310</t>
  </si>
  <si>
    <t>Tuberculosis Clinic</t>
  </si>
  <si>
    <t>072</t>
  </si>
  <si>
    <t>Vector Control</t>
  </si>
  <si>
    <t>267</t>
  </si>
  <si>
    <t>Westside/Burnside Health Clinic</t>
  </si>
  <si>
    <t>073</t>
  </si>
  <si>
    <t>Westside Pharmacy</t>
  </si>
  <si>
    <t>292</t>
  </si>
  <si>
    <t>Whitaker SBHC</t>
  </si>
  <si>
    <t>321</t>
  </si>
  <si>
    <t>WIC Administration</t>
  </si>
  <si>
    <t>441</t>
  </si>
  <si>
    <t>DOH Total</t>
  </si>
  <si>
    <t>Department of Library Services</t>
  </si>
  <si>
    <t>Administrative Services</t>
  </si>
  <si>
    <t>157</t>
  </si>
  <si>
    <t>125</t>
  </si>
  <si>
    <t>407</t>
  </si>
  <si>
    <t>Youth Services</t>
  </si>
  <si>
    <t>406</t>
  </si>
  <si>
    <t>Non-Departmental</t>
  </si>
  <si>
    <t>Chair's Office</t>
  </si>
  <si>
    <t>086</t>
  </si>
  <si>
    <t>Citizen Involvment</t>
  </si>
  <si>
    <t>492</t>
  </si>
  <si>
    <t>Clerk of the Board</t>
  </si>
  <si>
    <t>087</t>
  </si>
  <si>
    <t>Commission on Children, Families, &amp; Community</t>
  </si>
  <si>
    <t>459</t>
  </si>
  <si>
    <t>Commissioner, District 2</t>
  </si>
  <si>
    <t>234</t>
  </si>
  <si>
    <t>Commissioner, District 3</t>
  </si>
  <si>
    <t>235</t>
  </si>
  <si>
    <t>County Attorney</t>
  </si>
  <si>
    <t>088</t>
  </si>
  <si>
    <t>County Auditor</t>
  </si>
  <si>
    <t>084</t>
  </si>
  <si>
    <t>Local Public Safety Coordinating Council</t>
  </si>
  <si>
    <t>356</t>
  </si>
  <si>
    <t>District Attorney</t>
  </si>
  <si>
    <t>089, 090, 091</t>
  </si>
  <si>
    <t>District Attorney - Administrative Services</t>
  </si>
  <si>
    <t>093</t>
  </si>
  <si>
    <t>District Attorney - Domestic Violence Unit</t>
  </si>
  <si>
    <t>171</t>
  </si>
  <si>
    <t>District Attorney - Family &amp; Community Justice</t>
  </si>
  <si>
    <t>477</t>
  </si>
  <si>
    <t>District Attorney - Felony Court Division</t>
  </si>
  <si>
    <t>451</t>
  </si>
  <si>
    <t>District Attorney - Gresham Trial Unit</t>
  </si>
  <si>
    <t>529</t>
  </si>
  <si>
    <t>District Attorney - Intake</t>
  </si>
  <si>
    <t>District Attorney - Juvenile Court Trial Unit</t>
  </si>
  <si>
    <t>114</t>
  </si>
  <si>
    <t>District Attorney - Medical Examiner</t>
  </si>
  <si>
    <t>081</t>
  </si>
  <si>
    <t>State Medical Examiner</t>
  </si>
  <si>
    <t>082</t>
  </si>
  <si>
    <t>District Attorney - Misdemeanor Trial Unit</t>
  </si>
  <si>
    <t>452</t>
  </si>
  <si>
    <t>District Attorney - Office of the District Attorney</t>
  </si>
  <si>
    <t>428</t>
  </si>
  <si>
    <t>District Attorney - Child Abuse Unit</t>
  </si>
  <si>
    <t>344</t>
  </si>
  <si>
    <t>District Attorney - Child Support Enforcement</t>
  </si>
  <si>
    <t>094</t>
  </si>
  <si>
    <t>District Attorney - SED Gresham</t>
  </si>
  <si>
    <t>390</t>
  </si>
  <si>
    <t>District Attorney - Mental Commitments</t>
  </si>
  <si>
    <t>327</t>
  </si>
  <si>
    <t>District Attorney - Unit B</t>
  </si>
  <si>
    <t>337</t>
  </si>
  <si>
    <t>District Attorney - Unit D</t>
  </si>
  <si>
    <t>378</t>
  </si>
  <si>
    <t>District Attorney - Victims Assistance</t>
  </si>
  <si>
    <t>149</t>
  </si>
  <si>
    <t>DA Total</t>
  </si>
  <si>
    <t>MCSO</t>
  </si>
  <si>
    <t>MCSO - Administration</t>
  </si>
  <si>
    <t>095</t>
  </si>
  <si>
    <t>MCSO - Auxiliary Svcs/Warehouse</t>
  </si>
  <si>
    <t>295</t>
  </si>
  <si>
    <t>MCSO - Booking</t>
  </si>
  <si>
    <t>266</t>
  </si>
  <si>
    <t>MCSO - Civil Process Unit</t>
  </si>
  <si>
    <t>096</t>
  </si>
  <si>
    <t>MCSO - Classification</t>
  </si>
  <si>
    <t>097</t>
  </si>
  <si>
    <t>MCSO - Close Street</t>
  </si>
  <si>
    <t>100</t>
  </si>
  <si>
    <t>MCSO - Corrections Administration</t>
  </si>
  <si>
    <t>147</t>
  </si>
  <si>
    <t>MCSO - Counseling</t>
  </si>
  <si>
    <t>098</t>
  </si>
  <si>
    <t>MCSO - Enforcement/Support</t>
  </si>
  <si>
    <t>496</t>
  </si>
  <si>
    <t>MCSO - Facilities Security, Courthouse</t>
  </si>
  <si>
    <t>111</t>
  </si>
  <si>
    <t>MCSO - Facility Services/Administration</t>
  </si>
  <si>
    <t>432</t>
  </si>
  <si>
    <t>MCSO - Fiscal</t>
  </si>
  <si>
    <t>358</t>
  </si>
  <si>
    <t>MCSO - Inmate Property</t>
  </si>
  <si>
    <t>329</t>
  </si>
  <si>
    <t>MCSO - Inspections</t>
  </si>
  <si>
    <t>308</t>
  </si>
  <si>
    <t>MCSO - Inverness Jail</t>
  </si>
  <si>
    <t>124</t>
  </si>
  <si>
    <t>MCSO - Investigations</t>
  </si>
  <si>
    <t>103</t>
  </si>
  <si>
    <t>MCSO - MCCF</t>
  </si>
  <si>
    <t>277</t>
  </si>
  <si>
    <t>MCSO - MCDC</t>
  </si>
  <si>
    <t>403</t>
  </si>
  <si>
    <t>MCSO - Human Resources</t>
  </si>
  <si>
    <t>102, 264,330</t>
  </si>
  <si>
    <t>MCSO - Planning &amp; Research</t>
  </si>
  <si>
    <t>404</t>
  </si>
  <si>
    <t>MCSO - Pre-Trial Release Supervision Program</t>
  </si>
  <si>
    <t>265</t>
  </si>
  <si>
    <t>MCSO - Records Unit</t>
  </si>
  <si>
    <t>110</t>
  </si>
  <si>
    <t>MCSO Total</t>
  </si>
  <si>
    <t>Community Health/Medicaid Eligibility</t>
  </si>
  <si>
    <t>286</t>
  </si>
  <si>
    <t>Appointment &amp; Information Center</t>
  </si>
  <si>
    <t>379</t>
  </si>
  <si>
    <t>Volunteer Services</t>
  </si>
  <si>
    <t>370</t>
  </si>
  <si>
    <t>497, 480</t>
  </si>
  <si>
    <t>115, 146, 239, 521</t>
  </si>
  <si>
    <t>490, 536</t>
  </si>
  <si>
    <t>Human Resources - DCM</t>
  </si>
  <si>
    <t>Neighborhood Health Clinics</t>
  </si>
  <si>
    <t>037</t>
  </si>
  <si>
    <t>013, 106</t>
  </si>
  <si>
    <t>MCSO - Auxiliary Svcs/Equipment</t>
  </si>
  <si>
    <t>148</t>
  </si>
  <si>
    <t>312</t>
  </si>
  <si>
    <t>Technical Services</t>
  </si>
  <si>
    <t>346</t>
  </si>
  <si>
    <t>Human Resources - Classification/Compensation</t>
  </si>
  <si>
    <t>391</t>
  </si>
  <si>
    <t>Circulation Services</t>
  </si>
  <si>
    <t>426</t>
  </si>
  <si>
    <t>LUT/Engineering Support</t>
  </si>
  <si>
    <t>465</t>
  </si>
  <si>
    <t>River Rock Program</t>
  </si>
  <si>
    <t>489</t>
  </si>
  <si>
    <t>502</t>
  </si>
  <si>
    <t>LUT/Safety</t>
  </si>
  <si>
    <t>LUT/Road Maintenance</t>
  </si>
  <si>
    <t>503</t>
  </si>
  <si>
    <t>Regional Crisis Diversion Svcs/Region 1</t>
  </si>
  <si>
    <t>538</t>
  </si>
  <si>
    <t>North Nurse Family Partnership</t>
  </si>
  <si>
    <t>539</t>
  </si>
  <si>
    <t>Commissioner, District 1</t>
  </si>
  <si>
    <t>233</t>
  </si>
  <si>
    <t>Commissioner, District 4</t>
  </si>
  <si>
    <t>236</t>
  </si>
  <si>
    <t>Sex Offender Unit (MTSX)</t>
  </si>
  <si>
    <t>508</t>
  </si>
  <si>
    <t>Northeast Nurse Family Partnership</t>
  </si>
  <si>
    <t>540</t>
  </si>
  <si>
    <t>Assessment &amp; Treatment for Youth &amp; Families (ATYF)</t>
  </si>
  <si>
    <t>541</t>
  </si>
  <si>
    <t>446, 542</t>
  </si>
  <si>
    <t>F&amp;PM/Alarms</t>
  </si>
  <si>
    <t>545</t>
  </si>
  <si>
    <t>Yamhill County Community Corrections</t>
  </si>
  <si>
    <t>222</t>
  </si>
  <si>
    <t>Columbia Villa</t>
  </si>
  <si>
    <t>248</t>
  </si>
  <si>
    <t>FY 2009 - 2010</t>
  </si>
  <si>
    <t>(as of 9/7/2010)</t>
  </si>
  <si>
    <t>107, 113</t>
  </si>
  <si>
    <t>MCSO - Auxiliary Svcs/Commissary</t>
  </si>
  <si>
    <t>134</t>
  </si>
  <si>
    <t>Clackamas County Community Corrections</t>
  </si>
  <si>
    <t>190</t>
  </si>
  <si>
    <t>ADS Director</t>
  </si>
  <si>
    <t>387</t>
  </si>
  <si>
    <t>Mental Health Unit (MTMX)</t>
  </si>
  <si>
    <t>513</t>
  </si>
  <si>
    <t>Special Supervision Unit (MTST)</t>
  </si>
  <si>
    <t>516</t>
  </si>
  <si>
    <t>DART/Tax Title</t>
  </si>
  <si>
    <t>Vital Statistics</t>
  </si>
  <si>
    <t>244</t>
  </si>
  <si>
    <t>Clearinghouse</t>
  </si>
  <si>
    <t>413</t>
  </si>
  <si>
    <t>MCSO - Logistics</t>
  </si>
  <si>
    <t>533</t>
  </si>
  <si>
    <t>Public Affairs Office</t>
  </si>
  <si>
    <t>546</t>
  </si>
  <si>
    <t>Information Technology - Gen'l Govt./Open Source</t>
  </si>
  <si>
    <t>547</t>
  </si>
  <si>
    <t>Information Technology - SAP Support</t>
  </si>
  <si>
    <t>Information Technology - Telecommunications</t>
  </si>
  <si>
    <t>FY12 Budget Allocation</t>
  </si>
  <si>
    <t>FY11 Allocation for Records Services</t>
  </si>
  <si>
    <t>Department of Community Services</t>
  </si>
  <si>
    <t>FY12 Allocation for Records Services</t>
  </si>
  <si>
    <t>FY11 % of Total</t>
  </si>
  <si>
    <t>Change in % of allocation</t>
  </si>
  <si>
    <t>Change in $'s Allocated</t>
  </si>
  <si>
    <t>Comparison to FY11 Budget Allocation</t>
  </si>
  <si>
    <t>FY11 Budget  Allocation</t>
  </si>
  <si>
    <t>LIB Total</t>
  </si>
  <si>
    <t>Non-DepartmentalTotal</t>
  </si>
  <si>
    <t>Note: excludes Regional Drug, State Juvenile Court</t>
  </si>
  <si>
    <t>Outside Agency Revenue - reducing allocation to departments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</si>
</sst>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_);[Red]\(&quot;$&quot;#,##0.0\)"/>
    <numFmt numFmtId="166" formatCode="0.000%"/>
    <numFmt numFmtId="167" formatCode="&quot;$&quot;#,##0"/>
    <numFmt numFmtId="168" formatCode="&quot;$&quot;#,##0.00"/>
  </numFmts>
  <fonts count="1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19" applyNumberFormat="1" applyFont="1" applyFill="1" applyAlignment="1">
      <alignment/>
    </xf>
    <xf numFmtId="10" fontId="0" fillId="0" borderId="0" xfId="0" applyNumberFormat="1" applyFill="1" applyAlignment="1">
      <alignment/>
    </xf>
    <xf numFmtId="10" fontId="1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2" xfId="0" applyFill="1" applyBorder="1" applyAlignment="1">
      <alignment/>
    </xf>
    <xf numFmtId="10" fontId="1" fillId="0" borderId="0" xfId="19" applyNumberFormat="1" applyFont="1" applyFill="1" applyAlignment="1">
      <alignment/>
    </xf>
    <xf numFmtId="0" fontId="2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64" fontId="1" fillId="0" borderId="0" xfId="19" applyNumberFormat="1" applyFont="1" applyFill="1" applyAlignment="1">
      <alignment/>
    </xf>
    <xf numFmtId="49" fontId="0" fillId="0" borderId="0" xfId="0" applyNumberFormat="1" applyFill="1" applyAlignment="1">
      <alignment wrapText="1"/>
    </xf>
    <xf numFmtId="49" fontId="1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0" fontId="0" fillId="2" borderId="0" xfId="0" applyFill="1" applyAlignment="1">
      <alignment/>
    </xf>
    <xf numFmtId="0" fontId="1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164" fontId="0" fillId="3" borderId="4" xfId="19" applyNumberFormat="1" applyFont="1" applyFill="1" applyBorder="1" applyAlignment="1">
      <alignment/>
    </xf>
    <xf numFmtId="10" fontId="0" fillId="3" borderId="4" xfId="0" applyNumberFormat="1" applyFill="1" applyBorder="1" applyAlignment="1">
      <alignment/>
    </xf>
    <xf numFmtId="10" fontId="0" fillId="3" borderId="5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Border="1" applyAlignment="1">
      <alignment/>
    </xf>
    <xf numFmtId="164" fontId="0" fillId="0" borderId="0" xfId="19" applyNumberFormat="1" applyFont="1" applyBorder="1" applyAlignment="1">
      <alignment/>
    </xf>
    <xf numFmtId="10" fontId="0" fillId="0" borderId="0" xfId="0" applyNumberFormat="1" applyBorder="1" applyAlignment="1">
      <alignment/>
    </xf>
    <xf numFmtId="10" fontId="0" fillId="0" borderId="6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164" fontId="0" fillId="0" borderId="0" xfId="19" applyNumberFormat="1" applyFont="1" applyBorder="1" applyAlignment="1">
      <alignment horizontal="right"/>
    </xf>
    <xf numFmtId="10" fontId="1" fillId="0" borderId="0" xfId="19" applyNumberFormat="1" applyFont="1" applyBorder="1" applyAlignment="1">
      <alignment horizontal="right"/>
    </xf>
    <xf numFmtId="10" fontId="1" fillId="0" borderId="2" xfId="19" applyNumberFormat="1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Border="1" applyAlignment="1">
      <alignment horizontal="right"/>
    </xf>
    <xf numFmtId="10" fontId="1" fillId="0" borderId="0" xfId="19" applyNumberFormat="1" applyFont="1" applyBorder="1" applyAlignment="1">
      <alignment/>
    </xf>
    <xf numFmtId="166" fontId="1" fillId="3" borderId="7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167" fontId="1" fillId="0" borderId="2" xfId="0" applyNumberFormat="1" applyFont="1" applyFill="1" applyBorder="1" applyAlignment="1">
      <alignment horizontal="center"/>
    </xf>
    <xf numFmtId="8" fontId="1" fillId="0" borderId="2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10" fontId="1" fillId="3" borderId="7" xfId="0" applyNumberFormat="1" applyFont="1" applyFill="1" applyBorder="1" applyAlignment="1">
      <alignment/>
    </xf>
    <xf numFmtId="167" fontId="1" fillId="3" borderId="0" xfId="0" applyNumberFormat="1" applyFont="1" applyFill="1" applyBorder="1" applyAlignment="1">
      <alignment/>
    </xf>
    <xf numFmtId="0" fontId="0" fillId="3" borderId="2" xfId="0" applyFill="1" applyBorder="1" applyAlignment="1">
      <alignment/>
    </xf>
    <xf numFmtId="0" fontId="0" fillId="0" borderId="1" xfId="0" applyFill="1" applyBorder="1" applyAlignment="1">
      <alignment/>
    </xf>
    <xf numFmtId="167" fontId="1" fillId="0" borderId="2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6" fontId="0" fillId="0" borderId="0" xfId="19" applyNumberFormat="1" applyFont="1" applyBorder="1" applyAlignment="1">
      <alignment/>
    </xf>
    <xf numFmtId="10" fontId="0" fillId="0" borderId="1" xfId="0" applyNumberFormat="1" applyFill="1" applyBorder="1" applyAlignment="1">
      <alignment/>
    </xf>
    <xf numFmtId="0" fontId="1" fillId="0" borderId="1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164" fontId="0" fillId="0" borderId="0" xfId="19" applyNumberFormat="1" applyFont="1" applyFill="1" applyBorder="1" applyAlignment="1">
      <alignment/>
    </xf>
    <xf numFmtId="166" fontId="0" fillId="0" borderId="0" xfId="19" applyNumberFormat="1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Font="1" applyBorder="1" applyAlignment="1">
      <alignment/>
    </xf>
    <xf numFmtId="164" fontId="0" fillId="0" borderId="9" xfId="19" applyNumberFormat="1" applyFont="1" applyBorder="1" applyAlignment="1">
      <alignment/>
    </xf>
    <xf numFmtId="10" fontId="0" fillId="0" borderId="9" xfId="0" applyNumberFormat="1" applyBorder="1" applyAlignment="1">
      <alignment/>
    </xf>
    <xf numFmtId="10" fontId="1" fillId="3" borderId="10" xfId="0" applyNumberFormat="1" applyFont="1" applyFill="1" applyBorder="1" applyAlignment="1">
      <alignment/>
    </xf>
    <xf numFmtId="167" fontId="1" fillId="3" borderId="9" xfId="0" applyNumberFormat="1" applyFont="1" applyFill="1" applyBorder="1" applyAlignment="1">
      <alignment/>
    </xf>
    <xf numFmtId="0" fontId="0" fillId="3" borderId="11" xfId="0" applyFill="1" applyBorder="1" applyAlignment="1">
      <alignment/>
    </xf>
    <xf numFmtId="0" fontId="0" fillId="0" borderId="8" xfId="0" applyFill="1" applyBorder="1" applyAlignment="1">
      <alignment/>
    </xf>
    <xf numFmtId="167" fontId="1" fillId="0" borderId="11" xfId="0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Alignment="1">
      <alignment/>
    </xf>
    <xf numFmtId="164" fontId="0" fillId="0" borderId="0" xfId="19" applyNumberFormat="1" applyFont="1" applyAlignment="1">
      <alignment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7" fontId="1" fillId="0" borderId="0" xfId="0" applyNumberFormat="1" applyFont="1" applyFill="1" applyAlignment="1">
      <alignment/>
    </xf>
    <xf numFmtId="0" fontId="0" fillId="0" borderId="4" xfId="0" applyFont="1" applyBorder="1" applyAlignment="1">
      <alignment/>
    </xf>
    <xf numFmtId="164" fontId="0" fillId="0" borderId="4" xfId="19" applyNumberFormat="1" applyFont="1" applyBorder="1" applyAlignment="1">
      <alignment/>
    </xf>
    <xf numFmtId="10" fontId="0" fillId="0" borderId="4" xfId="0" applyNumberFormat="1" applyBorder="1" applyAlignment="1">
      <alignment/>
    </xf>
    <xf numFmtId="166" fontId="1" fillId="0" borderId="4" xfId="0" applyNumberFormat="1" applyFont="1" applyBorder="1" applyAlignment="1">
      <alignment/>
    </xf>
    <xf numFmtId="5" fontId="1" fillId="4" borderId="12" xfId="17" applyNumberFormat="1" applyFont="1" applyFill="1" applyBorder="1" applyAlignment="1">
      <alignment/>
    </xf>
    <xf numFmtId="0" fontId="0" fillId="0" borderId="3" xfId="0" applyBorder="1" applyAlignment="1">
      <alignment/>
    </xf>
    <xf numFmtId="5" fontId="1" fillId="0" borderId="5" xfId="17" applyNumberFormat="1" applyFont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Fill="1" applyBorder="1" applyAlignment="1">
      <alignment/>
    </xf>
    <xf numFmtId="166" fontId="1" fillId="0" borderId="0" xfId="0" applyNumberFormat="1" applyFont="1" applyBorder="1" applyAlignment="1">
      <alignment/>
    </xf>
    <xf numFmtId="5" fontId="1" fillId="0" borderId="0" xfId="17" applyNumberFormat="1" applyFont="1" applyBorder="1" applyAlignment="1">
      <alignment/>
    </xf>
    <xf numFmtId="5" fontId="0" fillId="0" borderId="0" xfId="0" applyNumberFormat="1" applyBorder="1" applyAlignment="1">
      <alignment/>
    </xf>
    <xf numFmtId="0" fontId="1" fillId="3" borderId="13" xfId="0" applyFont="1" applyFill="1" applyBorder="1" applyAlignment="1">
      <alignment/>
    </xf>
    <xf numFmtId="166" fontId="1" fillId="0" borderId="0" xfId="0" applyNumberFormat="1" applyFont="1" applyAlignment="1">
      <alignment/>
    </xf>
    <xf numFmtId="0" fontId="2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164" fontId="0" fillId="0" borderId="14" xfId="19" applyNumberFormat="1" applyFont="1" applyBorder="1" applyAlignment="1">
      <alignment/>
    </xf>
    <xf numFmtId="10" fontId="1" fillId="0" borderId="6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7" xfId="0" applyFill="1" applyBorder="1" applyAlignment="1">
      <alignment/>
    </xf>
    <xf numFmtId="0" fontId="0" fillId="0" borderId="7" xfId="0" applyBorder="1" applyAlignment="1">
      <alignment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/>
    </xf>
    <xf numFmtId="10" fontId="1" fillId="0" borderId="11" xfId="19" applyNumberFormat="1" applyFont="1" applyBorder="1" applyAlignment="1">
      <alignment/>
    </xf>
    <xf numFmtId="10" fontId="1" fillId="0" borderId="6" xfId="19" applyNumberFormat="1" applyFont="1" applyBorder="1" applyAlignment="1">
      <alignment/>
    </xf>
    <xf numFmtId="166" fontId="0" fillId="0" borderId="2" xfId="19" applyNumberFormat="1" applyFont="1" applyBorder="1" applyAlignment="1">
      <alignment/>
    </xf>
    <xf numFmtId="166" fontId="0" fillId="0" borderId="2" xfId="19" applyNumberFormat="1" applyFont="1" applyFill="1" applyBorder="1" applyAlignment="1">
      <alignment/>
    </xf>
    <xf numFmtId="10" fontId="1" fillId="3" borderId="7" xfId="19" applyNumberFormat="1" applyFont="1" applyFill="1" applyBorder="1" applyAlignment="1">
      <alignment horizontal="center"/>
    </xf>
    <xf numFmtId="6" fontId="0" fillId="0" borderId="2" xfId="0" applyNumberFormat="1" applyFill="1" applyBorder="1" applyAlignment="1">
      <alignment/>
    </xf>
    <xf numFmtId="10" fontId="1" fillId="3" borderId="1" xfId="0" applyNumberFormat="1" applyFont="1" applyFill="1" applyBorder="1" applyAlignment="1">
      <alignment/>
    </xf>
    <xf numFmtId="167" fontId="1" fillId="3" borderId="0" xfId="0" applyNumberFormat="1" applyFont="1" applyFill="1" applyBorder="1" applyAlignment="1">
      <alignment horizontal="right"/>
    </xf>
    <xf numFmtId="10" fontId="1" fillId="3" borderId="8" xfId="0" applyNumberFormat="1" applyFont="1" applyFill="1" applyBorder="1" applyAlignment="1">
      <alignment/>
    </xf>
    <xf numFmtId="167" fontId="1" fillId="3" borderId="9" xfId="0" applyNumberFormat="1" applyFont="1" applyFill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167" fontId="1" fillId="3" borderId="1" xfId="0" applyNumberFormat="1" applyFont="1" applyFill="1" applyBorder="1" applyAlignment="1">
      <alignment horizontal="center"/>
    </xf>
    <xf numFmtId="167" fontId="1" fillId="3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zoomScale="80" zoomScaleNormal="80" workbookViewId="0" topLeftCell="A1">
      <pane xSplit="1" ySplit="4" topLeftCell="E5" activePane="bottomRight" state="frozen"/>
      <selection pane="topLeft" activeCell="R47" sqref="A1:R47"/>
      <selection pane="topRight" activeCell="R47" sqref="A1:R47"/>
      <selection pane="bottomLeft" activeCell="R47" sqref="A1:R47"/>
      <selection pane="bottomRight" activeCell="L28" sqref="L28"/>
    </sheetView>
  </sheetViews>
  <sheetFormatPr defaultColWidth="9.140625" defaultRowHeight="12.75"/>
  <cols>
    <col min="1" max="1" width="36.8515625" style="0" bestFit="1" customWidth="1"/>
    <col min="9" max="9" width="2.7109375" style="0" customWidth="1"/>
    <col min="13" max="13" width="4.7109375" style="0" customWidth="1"/>
    <col min="15" max="15" width="9.28125" style="0" bestFit="1" customWidth="1"/>
    <col min="16" max="16" width="4.7109375" style="0" customWidth="1"/>
    <col min="18" max="18" width="12.7109375" style="0" customWidth="1"/>
  </cols>
  <sheetData>
    <row r="1" spans="1:18" ht="13.5" customHeight="1" thickBot="1">
      <c r="A1" s="23" t="s">
        <v>625</v>
      </c>
      <c r="B1" s="24"/>
      <c r="C1" s="25"/>
      <c r="D1" s="24"/>
      <c r="E1" s="25"/>
      <c r="F1" s="24"/>
      <c r="G1" s="25"/>
      <c r="H1" s="26"/>
      <c r="I1" s="27"/>
      <c r="J1" s="128" t="s">
        <v>1</v>
      </c>
      <c r="K1" s="129"/>
      <c r="L1" s="130"/>
      <c r="N1" s="115" t="s">
        <v>629</v>
      </c>
      <c r="O1" s="116"/>
      <c r="P1" s="116"/>
      <c r="Q1" s="116"/>
      <c r="R1" s="117"/>
    </row>
    <row r="2" spans="1:18" ht="12.75" customHeight="1">
      <c r="A2" s="28"/>
      <c r="B2" s="29"/>
      <c r="C2" s="30"/>
      <c r="D2" s="29"/>
      <c r="E2" s="30"/>
      <c r="F2" s="29"/>
      <c r="G2" s="30"/>
      <c r="H2" s="31"/>
      <c r="I2" s="32"/>
      <c r="J2" s="118" t="s">
        <v>626</v>
      </c>
      <c r="K2" s="120" t="s">
        <v>622</v>
      </c>
      <c r="L2" s="121"/>
      <c r="N2" s="124" t="s">
        <v>626</v>
      </c>
      <c r="O2" s="126" t="s">
        <v>630</v>
      </c>
      <c r="P2" s="33"/>
      <c r="Q2" s="124" t="s">
        <v>627</v>
      </c>
      <c r="R2" s="126" t="s">
        <v>628</v>
      </c>
    </row>
    <row r="3" spans="1:18" ht="12.75">
      <c r="A3" s="28"/>
      <c r="B3" s="34" t="s">
        <v>2</v>
      </c>
      <c r="C3" s="35" t="s">
        <v>3</v>
      </c>
      <c r="D3" s="34" t="s">
        <v>4</v>
      </c>
      <c r="E3" s="35" t="s">
        <v>3</v>
      </c>
      <c r="F3" s="34" t="s">
        <v>4</v>
      </c>
      <c r="G3" s="35" t="s">
        <v>3</v>
      </c>
      <c r="H3" s="36" t="s">
        <v>5</v>
      </c>
      <c r="I3" s="37"/>
      <c r="J3" s="119"/>
      <c r="K3" s="122"/>
      <c r="L3" s="123"/>
      <c r="N3" s="125"/>
      <c r="O3" s="127"/>
      <c r="P3" s="33"/>
      <c r="Q3" s="125"/>
      <c r="R3" s="127"/>
    </row>
    <row r="4" spans="1:18" ht="12.75">
      <c r="A4" s="38" t="s">
        <v>6</v>
      </c>
      <c r="B4" s="39" t="s">
        <v>8</v>
      </c>
      <c r="C4" s="35" t="s">
        <v>9</v>
      </c>
      <c r="D4" s="39" t="s">
        <v>10</v>
      </c>
      <c r="E4" s="35" t="s">
        <v>9</v>
      </c>
      <c r="F4" s="39" t="s">
        <v>11</v>
      </c>
      <c r="G4" s="35" t="s">
        <v>9</v>
      </c>
      <c r="H4" s="36" t="s">
        <v>12</v>
      </c>
      <c r="I4" s="40"/>
      <c r="J4" s="41"/>
      <c r="K4" s="131">
        <v>715817</v>
      </c>
      <c r="L4" s="132"/>
      <c r="N4" s="42"/>
      <c r="O4" s="43">
        <v>715817</v>
      </c>
      <c r="P4" s="33"/>
      <c r="Q4" s="6">
        <f>R4/O4</f>
        <v>0</v>
      </c>
      <c r="R4" s="44">
        <f>K4-O4</f>
        <v>0</v>
      </c>
    </row>
    <row r="5" spans="1:18" ht="12.75">
      <c r="A5" s="45"/>
      <c r="B5" s="29"/>
      <c r="C5" s="30"/>
      <c r="D5" s="29"/>
      <c r="E5" s="30"/>
      <c r="F5" s="29"/>
      <c r="G5" s="30"/>
      <c r="H5" s="40"/>
      <c r="I5" s="40"/>
      <c r="J5" s="46"/>
      <c r="K5" s="47"/>
      <c r="L5" s="48"/>
      <c r="N5" s="49"/>
      <c r="O5" s="50"/>
      <c r="P5" s="51"/>
      <c r="Q5" s="49"/>
      <c r="R5" s="9"/>
    </row>
    <row r="6" spans="1:18" ht="12.75">
      <c r="A6" s="45" t="s">
        <v>13</v>
      </c>
      <c r="B6" s="29">
        <v>1333</v>
      </c>
      <c r="C6" s="30">
        <v>0.09957421378949727</v>
      </c>
      <c r="D6" s="29">
        <v>445</v>
      </c>
      <c r="E6" s="30">
        <v>0.08257561699758768</v>
      </c>
      <c r="F6" s="29">
        <v>3371</v>
      </c>
      <c r="G6" s="30">
        <v>0.10131337721275509</v>
      </c>
      <c r="H6" s="52">
        <v>0.09448773599994668</v>
      </c>
      <c r="I6" s="40"/>
      <c r="J6" s="109">
        <f>ROUND(H6,4)</f>
        <v>0.0945</v>
      </c>
      <c r="K6" s="131">
        <f>$K$4*J6</f>
        <v>67644.7065</v>
      </c>
      <c r="L6" s="132"/>
      <c r="N6" s="6">
        <v>0.0925</v>
      </c>
      <c r="O6" s="50">
        <v>66213.0725</v>
      </c>
      <c r="P6" s="51"/>
      <c r="Q6" s="53">
        <f>J6-N6</f>
        <v>0.0020000000000000018</v>
      </c>
      <c r="R6" s="110">
        <f>K6-O6</f>
        <v>1431.6340000000055</v>
      </c>
    </row>
    <row r="7" spans="1:18" ht="12.75">
      <c r="A7" s="45"/>
      <c r="B7" s="29"/>
      <c r="C7" s="30"/>
      <c r="D7" s="29"/>
      <c r="E7" s="30"/>
      <c r="F7" s="29"/>
      <c r="G7" s="30"/>
      <c r="H7" s="52"/>
      <c r="I7" s="40"/>
      <c r="J7" s="46"/>
      <c r="K7" s="47"/>
      <c r="L7" s="48"/>
      <c r="N7" s="6"/>
      <c r="O7" s="50"/>
      <c r="P7" s="33"/>
      <c r="Q7" s="49"/>
      <c r="R7" s="110"/>
    </row>
    <row r="8" spans="1:18" ht="12.75">
      <c r="A8" s="45" t="s">
        <v>83</v>
      </c>
      <c r="B8" s="29">
        <v>106</v>
      </c>
      <c r="C8" s="30">
        <v>0.007918129528647195</v>
      </c>
      <c r="D8" s="29">
        <v>174</v>
      </c>
      <c r="E8" s="30">
        <v>0.032287994061978104</v>
      </c>
      <c r="F8" s="29">
        <v>1598</v>
      </c>
      <c r="G8" s="30">
        <v>0.04802692874102125</v>
      </c>
      <c r="H8" s="52">
        <v>0.029411017443882182</v>
      </c>
      <c r="I8" s="40"/>
      <c r="J8" s="109">
        <f>ROUND(H8,4)</f>
        <v>0.0294</v>
      </c>
      <c r="K8" s="131">
        <f>$K$4*J8</f>
        <v>21045.0198</v>
      </c>
      <c r="L8" s="132"/>
      <c r="N8" s="6">
        <v>0.0304</v>
      </c>
      <c r="O8" s="50">
        <v>21760.8368</v>
      </c>
      <c r="P8" s="51"/>
      <c r="Q8" s="53">
        <f>J8-N8</f>
        <v>-0.0010000000000000009</v>
      </c>
      <c r="R8" s="110">
        <f>K8-O8</f>
        <v>-715.8170000000027</v>
      </c>
    </row>
    <row r="9" spans="1:18" ht="12.75">
      <c r="A9" s="54"/>
      <c r="B9" s="29"/>
      <c r="C9" s="30"/>
      <c r="D9" s="29"/>
      <c r="E9" s="30"/>
      <c r="F9" s="29"/>
      <c r="G9" s="30"/>
      <c r="H9" s="52"/>
      <c r="I9" s="40"/>
      <c r="J9" s="46"/>
      <c r="K9" s="47"/>
      <c r="L9" s="48"/>
      <c r="N9" s="6"/>
      <c r="O9" s="50"/>
      <c r="P9" s="33"/>
      <c r="Q9" s="49"/>
      <c r="R9" s="110"/>
    </row>
    <row r="10" spans="1:18" ht="12.75">
      <c r="A10" s="45" t="s">
        <v>108</v>
      </c>
      <c r="B10" s="29">
        <v>1342</v>
      </c>
      <c r="C10" s="30">
        <v>0.10024650780608052</v>
      </c>
      <c r="D10" s="29">
        <v>616</v>
      </c>
      <c r="E10" s="30">
        <v>0.11430692150677306</v>
      </c>
      <c r="F10" s="29">
        <v>3733</v>
      </c>
      <c r="G10" s="30">
        <v>0.11219306945571485</v>
      </c>
      <c r="H10" s="52">
        <v>0.1089154995895228</v>
      </c>
      <c r="I10" s="40"/>
      <c r="J10" s="109">
        <f>ROUND(H10,4)</f>
        <v>0.1089</v>
      </c>
      <c r="K10" s="131">
        <f>$K$4*J10</f>
        <v>77952.4713</v>
      </c>
      <c r="L10" s="132"/>
      <c r="N10" s="6">
        <v>0.1001</v>
      </c>
      <c r="O10" s="50">
        <v>71653.28169999999</v>
      </c>
      <c r="P10" s="51"/>
      <c r="Q10" s="53">
        <f>J10-N10</f>
        <v>0.008800000000000002</v>
      </c>
      <c r="R10" s="110">
        <f>K10-O10</f>
        <v>6299.189600000012</v>
      </c>
    </row>
    <row r="11" spans="1:18" ht="12.75">
      <c r="A11" s="49"/>
      <c r="B11" s="55"/>
      <c r="C11" s="56"/>
      <c r="D11" s="55"/>
      <c r="E11" s="56"/>
      <c r="F11" s="55"/>
      <c r="G11" s="56"/>
      <c r="H11" s="57"/>
      <c r="I11" s="58"/>
      <c r="J11" s="46"/>
      <c r="K11" s="47"/>
      <c r="L11" s="48"/>
      <c r="M11" s="7"/>
      <c r="N11" s="6"/>
      <c r="O11" s="50"/>
      <c r="P11" s="59"/>
      <c r="Q11" s="49"/>
      <c r="R11" s="110"/>
    </row>
    <row r="12" spans="1:18" ht="12.75">
      <c r="A12" s="45" t="s">
        <v>177</v>
      </c>
      <c r="B12" s="29">
        <v>1589</v>
      </c>
      <c r="C12" s="30">
        <v>0.11869724359453201</v>
      </c>
      <c r="D12" s="29">
        <v>1086</v>
      </c>
      <c r="E12" s="30">
        <v>0.20152161811096678</v>
      </c>
      <c r="F12" s="29">
        <v>6351</v>
      </c>
      <c r="G12" s="30">
        <v>0.19087548462717518</v>
      </c>
      <c r="H12" s="52">
        <v>0.17036478211089134</v>
      </c>
      <c r="I12" s="40"/>
      <c r="J12" s="109">
        <f>ROUND(H12,4)</f>
        <v>0.1704</v>
      </c>
      <c r="K12" s="131">
        <f>$K$4*J12</f>
        <v>121975.2168</v>
      </c>
      <c r="L12" s="132"/>
      <c r="N12" s="6">
        <v>0.1617</v>
      </c>
      <c r="O12" s="50">
        <v>115747.6089</v>
      </c>
      <c r="P12" s="51"/>
      <c r="Q12" s="53">
        <f>J12-N12</f>
        <v>0.008699999999999986</v>
      </c>
      <c r="R12" s="110">
        <f>K12-O12</f>
        <v>6227.607899999988</v>
      </c>
    </row>
    <row r="13" spans="1:18" ht="12.75">
      <c r="A13" s="49"/>
      <c r="B13" s="55"/>
      <c r="C13" s="56"/>
      <c r="D13" s="55"/>
      <c r="E13" s="56"/>
      <c r="F13" s="55"/>
      <c r="G13" s="56"/>
      <c r="H13" s="57"/>
      <c r="I13" s="58"/>
      <c r="J13" s="46"/>
      <c r="K13" s="47"/>
      <c r="L13" s="48"/>
      <c r="M13" s="7"/>
      <c r="N13" s="6"/>
      <c r="O13" s="50"/>
      <c r="P13" s="59"/>
      <c r="Q13" s="49"/>
      <c r="R13" s="110"/>
    </row>
    <row r="14" spans="1:18" ht="12.75">
      <c r="A14" s="45" t="s">
        <v>266</v>
      </c>
      <c r="B14" s="29">
        <v>4098</v>
      </c>
      <c r="C14" s="30">
        <v>0.3061178755509076</v>
      </c>
      <c r="D14" s="29">
        <v>1226</v>
      </c>
      <c r="E14" s="30">
        <v>0.22750046390796066</v>
      </c>
      <c r="F14" s="29">
        <v>6963</v>
      </c>
      <c r="G14" s="30">
        <v>0.20926877648543865</v>
      </c>
      <c r="H14" s="52">
        <v>0.2476290386481023</v>
      </c>
      <c r="I14" s="40"/>
      <c r="J14" s="109">
        <f>ROUND(H14,4)</f>
        <v>0.2476</v>
      </c>
      <c r="K14" s="131">
        <f>$K$4*J14</f>
        <v>177236.2892</v>
      </c>
      <c r="L14" s="132"/>
      <c r="N14" s="6">
        <v>0.3</v>
      </c>
      <c r="O14" s="50">
        <v>214745.1</v>
      </c>
      <c r="P14" s="51"/>
      <c r="Q14" s="53">
        <f>J14-N14</f>
        <v>-0.0524</v>
      </c>
      <c r="R14" s="110">
        <f>K14-O14</f>
        <v>-37508.81080000001</v>
      </c>
    </row>
    <row r="15" spans="1:18" ht="12.75">
      <c r="A15" s="28"/>
      <c r="B15" s="29"/>
      <c r="C15" s="30"/>
      <c r="D15" s="29"/>
      <c r="E15" s="30"/>
      <c r="F15" s="29"/>
      <c r="G15" s="30"/>
      <c r="H15" s="52"/>
      <c r="I15" s="31"/>
      <c r="J15" s="46"/>
      <c r="K15" s="47"/>
      <c r="L15" s="48"/>
      <c r="N15" s="6"/>
      <c r="O15" s="50"/>
      <c r="P15" s="33"/>
      <c r="Q15" s="49"/>
      <c r="R15" s="110"/>
    </row>
    <row r="16" spans="1:18" ht="12.75">
      <c r="A16" s="45" t="s">
        <v>435</v>
      </c>
      <c r="B16" s="29">
        <v>26</v>
      </c>
      <c r="C16" s="30">
        <v>0.0019421827145738404</v>
      </c>
      <c r="D16" s="29">
        <v>48</v>
      </c>
      <c r="E16" s="30">
        <v>0.008907032844683615</v>
      </c>
      <c r="F16" s="29">
        <v>359</v>
      </c>
      <c r="G16" s="30">
        <v>0.010789529047576112</v>
      </c>
      <c r="H16" s="52">
        <v>0.007212914868944522</v>
      </c>
      <c r="I16" s="40"/>
      <c r="J16" s="109">
        <f>ROUND(H16,4)</f>
        <v>0.0072</v>
      </c>
      <c r="K16" s="131">
        <f>$K$4*J16</f>
        <v>5153.8823999999995</v>
      </c>
      <c r="L16" s="132"/>
      <c r="N16" s="6">
        <v>0.0084</v>
      </c>
      <c r="O16" s="50">
        <v>6012.8628</v>
      </c>
      <c r="P16" s="51"/>
      <c r="Q16" s="53">
        <f>J16-N16</f>
        <v>-0.0011999999999999997</v>
      </c>
      <c r="R16" s="110">
        <f>K16-O16</f>
        <v>-858.9804000000004</v>
      </c>
    </row>
    <row r="17" spans="1:18" ht="12.75">
      <c r="A17" s="28"/>
      <c r="B17" s="29"/>
      <c r="C17" s="30"/>
      <c r="D17" s="29"/>
      <c r="E17" s="30"/>
      <c r="F17" s="29"/>
      <c r="G17" s="30"/>
      <c r="H17" s="52"/>
      <c r="I17" s="31"/>
      <c r="J17" s="46"/>
      <c r="K17" s="47"/>
      <c r="L17" s="48"/>
      <c r="N17" s="6"/>
      <c r="O17" s="50"/>
      <c r="P17" s="33"/>
      <c r="Q17" s="49"/>
      <c r="R17" s="110"/>
    </row>
    <row r="18" spans="1:18" ht="12.75">
      <c r="A18" s="45" t="s">
        <v>442</v>
      </c>
      <c r="B18" s="29">
        <v>110</v>
      </c>
      <c r="C18" s="30">
        <v>0.008216926869350863</v>
      </c>
      <c r="D18" s="29">
        <v>99</v>
      </c>
      <c r="E18" s="30">
        <v>0.018370755242159954</v>
      </c>
      <c r="F18" s="29">
        <v>2179</v>
      </c>
      <c r="G18" s="30">
        <v>0.06548853424698704</v>
      </c>
      <c r="H18" s="52">
        <v>0.030692072119499286</v>
      </c>
      <c r="I18" s="40"/>
      <c r="J18" s="109">
        <f>ROUND(H18,4)</f>
        <v>0.0307</v>
      </c>
      <c r="K18" s="131">
        <f>$K$4*J18</f>
        <v>21975.5819</v>
      </c>
      <c r="L18" s="132"/>
      <c r="N18" s="6">
        <v>0.0349</v>
      </c>
      <c r="O18" s="50">
        <v>24982.0133</v>
      </c>
      <c r="P18" s="33"/>
      <c r="Q18" s="53">
        <f>J18-N18</f>
        <v>-0.004199999999999999</v>
      </c>
      <c r="R18" s="110">
        <f>K18-O18</f>
        <v>-3006.4313999999977</v>
      </c>
    </row>
    <row r="19" spans="1:18" ht="12.75">
      <c r="A19" s="54"/>
      <c r="B19" s="29"/>
      <c r="C19" s="30"/>
      <c r="D19" s="29"/>
      <c r="E19" s="30"/>
      <c r="F19" s="29"/>
      <c r="G19" s="30"/>
      <c r="H19" s="52"/>
      <c r="I19" s="31"/>
      <c r="J19" s="46"/>
      <c r="K19" s="47"/>
      <c r="L19" s="48"/>
      <c r="N19" s="6"/>
      <c r="O19" s="50"/>
      <c r="P19" s="33"/>
      <c r="Q19" s="49"/>
      <c r="R19" s="110"/>
    </row>
    <row r="20" spans="1:18" ht="12.75">
      <c r="A20" s="45" t="s">
        <v>461</v>
      </c>
      <c r="B20" s="29">
        <v>4336</v>
      </c>
      <c r="C20" s="30">
        <v>0.32389631732277585</v>
      </c>
      <c r="D20" s="29">
        <v>1238</v>
      </c>
      <c r="E20" s="30">
        <v>0.22972722211913157</v>
      </c>
      <c r="F20" s="29">
        <v>5688</v>
      </c>
      <c r="G20" s="30">
        <v>0.17094941844738978</v>
      </c>
      <c r="H20" s="52">
        <v>0.2415243192964324</v>
      </c>
      <c r="I20" s="40"/>
      <c r="J20" s="109">
        <f>ROUND(H20,4)</f>
        <v>0.2415</v>
      </c>
      <c r="K20" s="131">
        <f>$K$4*J20</f>
        <v>172869.8055</v>
      </c>
      <c r="L20" s="132"/>
      <c r="N20" s="6">
        <v>0.1987</v>
      </c>
      <c r="O20" s="50">
        <v>142232.83789999998</v>
      </c>
      <c r="P20" s="51"/>
      <c r="Q20" s="53">
        <f>J20-N20</f>
        <v>0.042800000000000005</v>
      </c>
      <c r="R20" s="110">
        <f>K20-O20</f>
        <v>30636.967600000004</v>
      </c>
    </row>
    <row r="21" spans="1:18" ht="12.75">
      <c r="A21" s="28"/>
      <c r="B21" s="29"/>
      <c r="C21" s="30"/>
      <c r="D21" s="29"/>
      <c r="E21" s="30"/>
      <c r="F21" s="29"/>
      <c r="G21" s="30"/>
      <c r="H21" s="52"/>
      <c r="I21" s="31"/>
      <c r="J21" s="46"/>
      <c r="K21" s="47"/>
      <c r="L21" s="48"/>
      <c r="N21" s="6"/>
      <c r="O21" s="50"/>
      <c r="P21" s="33"/>
      <c r="Q21" s="49"/>
      <c r="R21" s="110"/>
    </row>
    <row r="22" spans="1:18" ht="12.75">
      <c r="A22" s="45" t="s">
        <v>499</v>
      </c>
      <c r="B22" s="29">
        <v>447</v>
      </c>
      <c r="C22" s="30">
        <v>0.03339060282363487</v>
      </c>
      <c r="D22" s="29">
        <v>457</v>
      </c>
      <c r="E22" s="30">
        <v>0.08480237520875858</v>
      </c>
      <c r="F22" s="29">
        <v>3031</v>
      </c>
      <c r="G22" s="30">
        <v>0.09109488173594206</v>
      </c>
      <c r="H22" s="52">
        <v>0.0697626199227785</v>
      </c>
      <c r="I22" s="40"/>
      <c r="J22" s="109">
        <f>ROUND(H22,4)</f>
        <v>0.0698</v>
      </c>
      <c r="K22" s="131">
        <f>$K$4*J22</f>
        <v>49964.0266</v>
      </c>
      <c r="L22" s="132"/>
      <c r="N22" s="6">
        <v>0.0733</v>
      </c>
      <c r="O22" s="50">
        <v>52469.3861</v>
      </c>
      <c r="P22" s="51"/>
      <c r="Q22" s="53">
        <f>J22-N22</f>
        <v>-0.003500000000000003</v>
      </c>
      <c r="R22" s="110">
        <f>K22-O22</f>
        <v>-2505.359500000006</v>
      </c>
    </row>
    <row r="23" spans="1:18" ht="13.5" thickBot="1">
      <c r="A23" s="60"/>
      <c r="B23" s="61"/>
      <c r="C23" s="62"/>
      <c r="D23" s="61"/>
      <c r="E23" s="62"/>
      <c r="F23" s="61"/>
      <c r="G23" s="62"/>
      <c r="H23" s="63"/>
      <c r="I23" s="63"/>
      <c r="J23" s="64"/>
      <c r="K23" s="65"/>
      <c r="L23" s="66"/>
      <c r="N23" s="67"/>
      <c r="O23" s="68"/>
      <c r="P23" s="69"/>
      <c r="Q23" s="67"/>
      <c r="R23" s="70"/>
    </row>
    <row r="24" spans="2:15" ht="13.5" thickBot="1">
      <c r="B24" s="71"/>
      <c r="C24" s="72"/>
      <c r="D24" s="71"/>
      <c r="E24" s="72"/>
      <c r="F24" s="3"/>
      <c r="G24" s="72"/>
      <c r="H24" s="73"/>
      <c r="I24" s="73"/>
      <c r="J24" s="74"/>
      <c r="K24" s="75"/>
      <c r="N24" s="7"/>
      <c r="O24" s="76"/>
    </row>
    <row r="25" spans="1:18" ht="13.5" thickBot="1">
      <c r="A25" s="133" t="s">
        <v>634</v>
      </c>
      <c r="B25" s="134"/>
      <c r="C25" s="134"/>
      <c r="D25" s="134"/>
      <c r="E25" s="134"/>
      <c r="F25" s="77"/>
      <c r="G25" s="78"/>
      <c r="H25" s="79"/>
      <c r="I25" s="79"/>
      <c r="J25" s="80"/>
      <c r="K25" s="81">
        <v>0</v>
      </c>
      <c r="N25" s="82"/>
      <c r="O25" s="83">
        <v>0</v>
      </c>
      <c r="P25" s="84"/>
      <c r="Q25" s="82"/>
      <c r="R25" s="83">
        <f>K25-O25</f>
        <v>0</v>
      </c>
    </row>
    <row r="26" spans="1:18" ht="13.5" thickBot="1">
      <c r="A26" s="85"/>
      <c r="B26" s="29"/>
      <c r="C26" s="30"/>
      <c r="D26" s="29"/>
      <c r="E26" s="30"/>
      <c r="F26" s="29"/>
      <c r="G26" s="30"/>
      <c r="H26" s="31"/>
      <c r="I26" s="31"/>
      <c r="J26" s="86"/>
      <c r="K26" s="87"/>
      <c r="N26" s="33"/>
      <c r="O26" s="87"/>
      <c r="P26" s="33"/>
      <c r="Q26" s="33"/>
      <c r="R26" s="88"/>
    </row>
    <row r="27" spans="1:11" ht="12.75">
      <c r="A27" s="89" t="s">
        <v>623</v>
      </c>
      <c r="B27" s="94" t="s">
        <v>2</v>
      </c>
      <c r="C27" s="95" t="s">
        <v>3</v>
      </c>
      <c r="D27" s="94" t="s">
        <v>4</v>
      </c>
      <c r="E27" s="95" t="s">
        <v>3</v>
      </c>
      <c r="F27" s="94" t="s">
        <v>4</v>
      </c>
      <c r="G27" s="95" t="s">
        <v>3</v>
      </c>
      <c r="H27" s="106" t="s">
        <v>5</v>
      </c>
      <c r="I27" s="73"/>
      <c r="J27" s="90"/>
      <c r="K27" s="75"/>
    </row>
    <row r="28" spans="1:11" ht="13.5" thickBot="1">
      <c r="A28" s="91" t="s">
        <v>6</v>
      </c>
      <c r="B28" s="92" t="s">
        <v>8</v>
      </c>
      <c r="C28" s="30" t="s">
        <v>9</v>
      </c>
      <c r="D28" s="92" t="s">
        <v>10</v>
      </c>
      <c r="E28" s="30" t="s">
        <v>9</v>
      </c>
      <c r="F28" s="92" t="s">
        <v>11</v>
      </c>
      <c r="G28" s="30" t="s">
        <v>9</v>
      </c>
      <c r="H28" s="37" t="s">
        <v>12</v>
      </c>
      <c r="I28" s="73"/>
      <c r="J28" s="90"/>
      <c r="K28" s="75"/>
    </row>
    <row r="29" spans="1:11" ht="12.75">
      <c r="A29" s="93"/>
      <c r="B29" s="94"/>
      <c r="C29" s="95"/>
      <c r="D29" s="94"/>
      <c r="E29" s="95"/>
      <c r="F29" s="94"/>
      <c r="G29" s="95"/>
      <c r="H29" s="96"/>
      <c r="I29" s="73"/>
      <c r="J29" s="90"/>
      <c r="K29" s="97"/>
    </row>
    <row r="30" spans="1:18" ht="12.75">
      <c r="A30" s="98" t="s">
        <v>13</v>
      </c>
      <c r="B30" s="29">
        <v>1120</v>
      </c>
      <c r="C30" s="30">
        <v>0.08884658099317785</v>
      </c>
      <c r="D30" s="29">
        <v>532</v>
      </c>
      <c r="E30" s="30">
        <v>0.08965284799460735</v>
      </c>
      <c r="F30" s="29">
        <v>3364</v>
      </c>
      <c r="G30" s="30">
        <v>0.09906646641340519</v>
      </c>
      <c r="H30" s="107">
        <v>0.09252196513373012</v>
      </c>
      <c r="I30" s="51"/>
      <c r="J30" s="29"/>
      <c r="K30" s="30"/>
      <c r="L30" s="29"/>
      <c r="M30" s="30"/>
      <c r="N30" s="29"/>
      <c r="O30" s="30"/>
      <c r="P30" s="40"/>
      <c r="Q30" s="51"/>
      <c r="R30" s="29"/>
    </row>
    <row r="31" spans="1:18" ht="12.75">
      <c r="A31" s="98"/>
      <c r="B31" s="29"/>
      <c r="C31" s="30"/>
      <c r="D31" s="29"/>
      <c r="E31" s="30"/>
      <c r="F31" s="29"/>
      <c r="G31" s="30"/>
      <c r="H31" s="107"/>
      <c r="I31" s="51"/>
      <c r="J31" s="29"/>
      <c r="K31" s="30"/>
      <c r="L31" s="29"/>
      <c r="M31" s="30"/>
      <c r="N31" s="29"/>
      <c r="O31" s="30"/>
      <c r="P31" s="40"/>
      <c r="Q31" s="51"/>
      <c r="R31" s="29"/>
    </row>
    <row r="32" spans="1:18" ht="12.75">
      <c r="A32" s="98" t="s">
        <v>624</v>
      </c>
      <c r="B32" s="29">
        <v>115</v>
      </c>
      <c r="C32" s="30">
        <v>0.00912264001269237</v>
      </c>
      <c r="D32" s="29">
        <v>263</v>
      </c>
      <c r="E32" s="30">
        <v>0.04432086282440175</v>
      </c>
      <c r="F32" s="29">
        <v>1284</v>
      </c>
      <c r="G32" s="30">
        <v>0.03781252760844597</v>
      </c>
      <c r="H32" s="107">
        <v>0.03041867681518003</v>
      </c>
      <c r="I32" s="51"/>
      <c r="J32" s="29"/>
      <c r="K32" s="30"/>
      <c r="L32" s="29"/>
      <c r="M32" s="30"/>
      <c r="N32" s="29"/>
      <c r="O32" s="30"/>
      <c r="P32" s="40"/>
      <c r="Q32" s="51"/>
      <c r="R32" s="29"/>
    </row>
    <row r="33" spans="1:18" ht="12.75">
      <c r="A33" s="99"/>
      <c r="B33" s="29"/>
      <c r="C33" s="30"/>
      <c r="D33" s="29"/>
      <c r="E33" s="30"/>
      <c r="F33" s="29"/>
      <c r="G33" s="30"/>
      <c r="H33" s="107"/>
      <c r="I33" s="100"/>
      <c r="J33" s="29"/>
      <c r="K33" s="30"/>
      <c r="L33" s="29"/>
      <c r="M33" s="30"/>
      <c r="N33" s="29"/>
      <c r="O33" s="30"/>
      <c r="P33" s="40"/>
      <c r="Q33" s="100"/>
      <c r="R33" s="29"/>
    </row>
    <row r="34" spans="1:18" ht="12.75">
      <c r="A34" s="98" t="s">
        <v>108</v>
      </c>
      <c r="B34" s="29">
        <v>1462</v>
      </c>
      <c r="C34" s="30">
        <v>0.11597651911788037</v>
      </c>
      <c r="D34" s="29">
        <v>486</v>
      </c>
      <c r="E34" s="30">
        <v>0.08190091001011122</v>
      </c>
      <c r="F34" s="29">
        <v>3477</v>
      </c>
      <c r="G34" s="30">
        <v>0.10239420443502076</v>
      </c>
      <c r="H34" s="107">
        <v>0.10009054452100412</v>
      </c>
      <c r="I34" s="51"/>
      <c r="J34" s="29"/>
      <c r="K34" s="30"/>
      <c r="L34" s="29"/>
      <c r="M34" s="30"/>
      <c r="N34" s="29"/>
      <c r="O34" s="30"/>
      <c r="P34" s="40"/>
      <c r="Q34" s="51"/>
      <c r="R34" s="29"/>
    </row>
    <row r="35" spans="1:18" ht="12.75">
      <c r="A35" s="101"/>
      <c r="B35" s="55"/>
      <c r="C35" s="56"/>
      <c r="D35" s="55"/>
      <c r="E35" s="56"/>
      <c r="F35" s="55"/>
      <c r="G35" s="56"/>
      <c r="H35" s="108"/>
      <c r="I35" s="59"/>
      <c r="J35" s="55"/>
      <c r="K35" s="56"/>
      <c r="L35" s="55"/>
      <c r="M35" s="56"/>
      <c r="N35" s="55"/>
      <c r="O35" s="56"/>
      <c r="P35" s="58"/>
      <c r="Q35" s="59"/>
      <c r="R35" s="55"/>
    </row>
    <row r="36" spans="1:18" ht="12.75">
      <c r="A36" s="98" t="s">
        <v>177</v>
      </c>
      <c r="B36" s="29">
        <v>1607</v>
      </c>
      <c r="C36" s="30">
        <v>0.1274789782643186</v>
      </c>
      <c r="D36" s="29">
        <v>920</v>
      </c>
      <c r="E36" s="30">
        <v>0.15503875968992248</v>
      </c>
      <c r="F36" s="29">
        <v>6879</v>
      </c>
      <c r="G36" s="30">
        <v>0.20257973319197808</v>
      </c>
      <c r="H36" s="107">
        <v>0.16169915704873972</v>
      </c>
      <c r="I36" s="51"/>
      <c r="J36" s="29"/>
      <c r="K36" s="30"/>
      <c r="L36" s="29"/>
      <c r="M36" s="30"/>
      <c r="N36" s="29"/>
      <c r="O36" s="30"/>
      <c r="P36" s="40"/>
      <c r="Q36" s="51"/>
      <c r="R36" s="29"/>
    </row>
    <row r="37" spans="1:18" ht="12.75">
      <c r="A37" s="101"/>
      <c r="B37" s="55"/>
      <c r="C37" s="56"/>
      <c r="D37" s="55"/>
      <c r="E37" s="56"/>
      <c r="F37" s="55"/>
      <c r="G37" s="56"/>
      <c r="H37" s="108"/>
      <c r="I37" s="59"/>
      <c r="J37" s="55"/>
      <c r="K37" s="56"/>
      <c r="L37" s="55"/>
      <c r="M37" s="56"/>
      <c r="N37" s="55"/>
      <c r="O37" s="56"/>
      <c r="P37" s="58"/>
      <c r="Q37" s="59"/>
      <c r="R37" s="55"/>
    </row>
    <row r="38" spans="1:18" ht="12.75">
      <c r="A38" s="98" t="s">
        <v>266</v>
      </c>
      <c r="B38" s="29">
        <v>4344</v>
      </c>
      <c r="C38" s="30">
        <v>0.34459781056639693</v>
      </c>
      <c r="D38" s="29">
        <v>1983</v>
      </c>
      <c r="E38" s="30">
        <v>0.33417593528816986</v>
      </c>
      <c r="F38" s="29">
        <v>7514</v>
      </c>
      <c r="G38" s="30">
        <v>0.22127985393291516</v>
      </c>
      <c r="H38" s="107">
        <v>0.30001786659582735</v>
      </c>
      <c r="I38" s="51"/>
      <c r="J38" s="29"/>
      <c r="K38" s="30"/>
      <c r="L38" s="29"/>
      <c r="M38" s="30"/>
      <c r="N38" s="29"/>
      <c r="O38" s="30"/>
      <c r="P38" s="40"/>
      <c r="Q38" s="51"/>
      <c r="R38" s="29"/>
    </row>
    <row r="39" spans="1:18" ht="12.75">
      <c r="A39" s="102"/>
      <c r="B39" s="29"/>
      <c r="C39" s="30"/>
      <c r="D39" s="29"/>
      <c r="E39" s="30"/>
      <c r="F39" s="29"/>
      <c r="G39" s="30"/>
      <c r="H39" s="107"/>
      <c r="I39" s="33"/>
      <c r="J39" s="29"/>
      <c r="K39" s="30"/>
      <c r="L39" s="29"/>
      <c r="M39" s="30"/>
      <c r="N39" s="29"/>
      <c r="O39" s="30"/>
      <c r="P39" s="31"/>
      <c r="Q39" s="33"/>
      <c r="R39" s="29"/>
    </row>
    <row r="40" spans="1:18" ht="12.75">
      <c r="A40" s="98" t="s">
        <v>435</v>
      </c>
      <c r="B40" s="29">
        <v>40</v>
      </c>
      <c r="C40" s="30">
        <v>0.0031730921783277802</v>
      </c>
      <c r="D40" s="29">
        <v>70</v>
      </c>
      <c r="E40" s="30">
        <v>0.011796427367711493</v>
      </c>
      <c r="F40" s="29">
        <v>350</v>
      </c>
      <c r="G40" s="30">
        <v>0.01030715316429602</v>
      </c>
      <c r="H40" s="107">
        <v>0.008425557570111765</v>
      </c>
      <c r="I40" s="51"/>
      <c r="J40" s="29"/>
      <c r="K40" s="30"/>
      <c r="L40" s="29"/>
      <c r="M40" s="30"/>
      <c r="N40" s="29"/>
      <c r="O40" s="30"/>
      <c r="P40" s="40"/>
      <c r="Q40" s="51"/>
      <c r="R40" s="29"/>
    </row>
    <row r="41" spans="1:18" ht="12.75">
      <c r="A41" s="102"/>
      <c r="B41" s="29"/>
      <c r="C41" s="30"/>
      <c r="D41" s="29"/>
      <c r="E41" s="30"/>
      <c r="F41" s="29"/>
      <c r="G41" s="30"/>
      <c r="H41" s="107"/>
      <c r="I41" s="33"/>
      <c r="J41" s="29"/>
      <c r="K41" s="30"/>
      <c r="L41" s="29"/>
      <c r="M41" s="30"/>
      <c r="N41" s="29"/>
      <c r="O41" s="30"/>
      <c r="P41" s="31"/>
      <c r="Q41" s="33"/>
      <c r="R41" s="29"/>
    </row>
    <row r="42" spans="1:18" ht="12.75">
      <c r="A42" s="98" t="s">
        <v>442</v>
      </c>
      <c r="B42" s="29">
        <v>116</v>
      </c>
      <c r="C42" s="30">
        <v>0.009201967317150563</v>
      </c>
      <c r="D42" s="29">
        <v>210</v>
      </c>
      <c r="E42" s="30">
        <v>0.03538928210313448</v>
      </c>
      <c r="F42" s="29">
        <v>2038</v>
      </c>
      <c r="G42" s="30">
        <v>0.06001708042524369</v>
      </c>
      <c r="H42" s="107">
        <v>0.03486944328184291</v>
      </c>
      <c r="I42" s="51"/>
      <c r="J42" s="29"/>
      <c r="K42" s="30"/>
      <c r="L42" s="29"/>
      <c r="M42" s="30"/>
      <c r="N42" s="29"/>
      <c r="O42" s="30"/>
      <c r="P42" s="40"/>
      <c r="Q42" s="51"/>
      <c r="R42" s="29"/>
    </row>
    <row r="43" spans="1:18" ht="12.75">
      <c r="A43" s="99"/>
      <c r="B43" s="29"/>
      <c r="C43" s="30"/>
      <c r="D43" s="29"/>
      <c r="E43" s="30"/>
      <c r="F43" s="29"/>
      <c r="G43" s="30"/>
      <c r="H43" s="107"/>
      <c r="I43" s="100"/>
      <c r="J43" s="29"/>
      <c r="K43" s="30"/>
      <c r="L43" s="29"/>
      <c r="M43" s="30"/>
      <c r="N43" s="29"/>
      <c r="O43" s="30"/>
      <c r="P43" s="31"/>
      <c r="Q43" s="100"/>
      <c r="R43" s="29"/>
    </row>
    <row r="44" spans="1:18" ht="12.75">
      <c r="A44" s="98" t="s">
        <v>461</v>
      </c>
      <c r="B44" s="29">
        <v>3503</v>
      </c>
      <c r="C44" s="30">
        <v>0.27788354751705535</v>
      </c>
      <c r="D44" s="29">
        <v>838</v>
      </c>
      <c r="E44" s="30">
        <v>0.1412200876306033</v>
      </c>
      <c r="F44" s="29">
        <v>6005</v>
      </c>
      <c r="G44" s="30">
        <v>0.1768412992902789</v>
      </c>
      <c r="H44" s="107">
        <v>0.19864831147931253</v>
      </c>
      <c r="I44" s="51"/>
      <c r="J44" s="29"/>
      <c r="K44" s="30"/>
      <c r="L44" s="29"/>
      <c r="M44" s="30"/>
      <c r="N44" s="29"/>
      <c r="O44" s="30"/>
      <c r="P44" s="40"/>
      <c r="Q44" s="51"/>
      <c r="R44" s="29"/>
    </row>
    <row r="45" spans="1:18" ht="12.75">
      <c r="A45" s="102"/>
      <c r="B45" s="29"/>
      <c r="C45" s="30"/>
      <c r="D45" s="29"/>
      <c r="E45" s="30"/>
      <c r="F45" s="29"/>
      <c r="G45" s="30"/>
      <c r="H45" s="107"/>
      <c r="I45" s="33"/>
      <c r="J45" s="29"/>
      <c r="K45" s="30"/>
      <c r="L45" s="29"/>
      <c r="M45" s="30"/>
      <c r="N45" s="29"/>
      <c r="O45" s="30"/>
      <c r="P45" s="31"/>
      <c r="Q45" s="33"/>
      <c r="R45" s="29"/>
    </row>
    <row r="46" spans="1:18" ht="13.5" thickBot="1">
      <c r="A46" s="103" t="s">
        <v>499</v>
      </c>
      <c r="B46" s="29">
        <v>299</v>
      </c>
      <c r="C46" s="30">
        <v>0.023718864033000157</v>
      </c>
      <c r="D46" s="29">
        <v>632</v>
      </c>
      <c r="E46" s="30">
        <v>0.10650488709133805</v>
      </c>
      <c r="F46" s="29">
        <v>3046</v>
      </c>
      <c r="G46" s="30">
        <v>0.08970168153841623</v>
      </c>
      <c r="H46" s="107">
        <v>0.07330847755425147</v>
      </c>
      <c r="I46" s="51"/>
      <c r="J46" s="29"/>
      <c r="K46" s="30"/>
      <c r="L46" s="29"/>
      <c r="M46" s="30"/>
      <c r="N46" s="29"/>
      <c r="O46" s="30"/>
      <c r="P46" s="40"/>
      <c r="Q46" s="51"/>
      <c r="R46" s="29"/>
    </row>
    <row r="47" spans="1:18" ht="13.5" thickBot="1">
      <c r="A47" s="104"/>
      <c r="B47" s="61"/>
      <c r="C47" s="62"/>
      <c r="D47" s="61"/>
      <c r="E47" s="62"/>
      <c r="F47" s="61"/>
      <c r="G47" s="62"/>
      <c r="H47" s="105"/>
      <c r="I47" s="51"/>
      <c r="J47" s="29"/>
      <c r="K47" s="30"/>
      <c r="L47" s="29"/>
      <c r="M47" s="30"/>
      <c r="N47" s="29"/>
      <c r="O47" s="30"/>
      <c r="P47" s="40"/>
      <c r="Q47" s="51"/>
      <c r="R47" s="29"/>
    </row>
  </sheetData>
  <mergeCells count="19">
    <mergeCell ref="K20:L20"/>
    <mergeCell ref="K22:L22"/>
    <mergeCell ref="A25:E25"/>
    <mergeCell ref="K12:L12"/>
    <mergeCell ref="K14:L14"/>
    <mergeCell ref="K16:L16"/>
    <mergeCell ref="K18:L18"/>
    <mergeCell ref="K4:L4"/>
    <mergeCell ref="K6:L6"/>
    <mergeCell ref="K8:L8"/>
    <mergeCell ref="K10:L10"/>
    <mergeCell ref="N1:R1"/>
    <mergeCell ref="J2:J3"/>
    <mergeCell ref="K2:L3"/>
    <mergeCell ref="N2:N3"/>
    <mergeCell ref="O2:O3"/>
    <mergeCell ref="Q2:Q3"/>
    <mergeCell ref="R2:R3"/>
    <mergeCell ref="J1:L1"/>
  </mergeCells>
  <printOptions/>
  <pageMargins left="0.25" right="0.25" top="0.25" bottom="0.25" header="0.5" footer="0.5"/>
  <pageSetup fitToHeight="1" fitToWidth="1" horizontalDpi="600" verticalDpi="600" orientation="landscape" scale="7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1">
      <pane xSplit="1" ySplit="5" topLeftCell="J6" activePane="bottomRight" state="frozen"/>
      <selection pane="topLeft" activeCell="R47" sqref="A1:R47"/>
      <selection pane="topRight" activeCell="R47" sqref="A1:R47"/>
      <selection pane="bottomLeft" activeCell="R47" sqref="A1:R47"/>
      <selection pane="bottomRight" activeCell="L32" sqref="A1:L32"/>
    </sheetView>
  </sheetViews>
  <sheetFormatPr defaultColWidth="9.140625" defaultRowHeight="12.75" outlineLevelRow="1"/>
  <cols>
    <col min="1" max="1" width="41.00390625" style="7" bestFit="1" customWidth="1"/>
    <col min="2" max="2" width="11.7109375" style="8" hidden="1" customWidth="1"/>
    <col min="3" max="3" width="7.28125" style="3" hidden="1" customWidth="1"/>
    <col min="4" max="4" width="7.00390625" style="4" hidden="1" customWidth="1"/>
    <col min="5" max="5" width="11.7109375" style="3" hidden="1" customWidth="1"/>
    <col min="6" max="6" width="7.00390625" style="4" hidden="1" customWidth="1"/>
    <col min="7" max="7" width="14.00390625" style="3" hidden="1" customWidth="1"/>
    <col min="8" max="8" width="7.00390625" style="4" hidden="1" customWidth="1"/>
    <col min="9" max="9" width="8.57421875" style="5" hidden="1" customWidth="1"/>
    <col min="10" max="16384" width="8.8515625" style="7" customWidth="1"/>
  </cols>
  <sheetData>
    <row r="1" spans="1:2" ht="12.75" customHeight="1">
      <c r="A1" s="1" t="s">
        <v>0</v>
      </c>
      <c r="B1" s="2"/>
    </row>
    <row r="2" spans="1:2" ht="13.5" thickBot="1">
      <c r="A2" s="1" t="s">
        <v>596</v>
      </c>
      <c r="B2" s="2"/>
    </row>
    <row r="3" spans="7:12" ht="12.75">
      <c r="G3" s="3" t="s">
        <v>597</v>
      </c>
      <c r="J3" s="135" t="s">
        <v>1</v>
      </c>
      <c r="K3" s="136"/>
      <c r="L3" s="137"/>
    </row>
    <row r="4" spans="3:12" ht="13.5" thickBot="1">
      <c r="C4" s="3" t="s">
        <v>2</v>
      </c>
      <c r="D4" s="4" t="s">
        <v>3</v>
      </c>
      <c r="E4" s="3" t="s">
        <v>4</v>
      </c>
      <c r="F4" s="4" t="s">
        <v>3</v>
      </c>
      <c r="G4" s="3" t="s">
        <v>4</v>
      </c>
      <c r="H4" s="4" t="s">
        <v>3</v>
      </c>
      <c r="I4" s="10" t="s">
        <v>5</v>
      </c>
      <c r="J4" s="138"/>
      <c r="K4" s="139"/>
      <c r="L4" s="140"/>
    </row>
    <row r="5" spans="1:12" ht="12.75">
      <c r="A5" s="11" t="s">
        <v>6</v>
      </c>
      <c r="B5" s="12" t="s">
        <v>7</v>
      </c>
      <c r="C5" s="13" t="s">
        <v>8</v>
      </c>
      <c r="D5" s="4" t="s">
        <v>9</v>
      </c>
      <c r="E5" s="13" t="s">
        <v>10</v>
      </c>
      <c r="F5" s="4" t="s">
        <v>9</v>
      </c>
      <c r="G5" s="13" t="s">
        <v>11</v>
      </c>
      <c r="H5" s="4" t="s">
        <v>9</v>
      </c>
      <c r="I5" s="10" t="s">
        <v>12</v>
      </c>
      <c r="J5" s="141" t="s">
        <v>622</v>
      </c>
      <c r="K5" s="142"/>
      <c r="L5" s="143"/>
    </row>
    <row r="6" spans="1:12" ht="12.75">
      <c r="A6" s="1" t="s">
        <v>499</v>
      </c>
      <c r="B6" s="2"/>
      <c r="J6" s="111"/>
      <c r="K6" s="112"/>
      <c r="L6" s="48"/>
    </row>
    <row r="7" spans="1:12" ht="12.75" outlineLevel="1">
      <c r="A7" s="7" t="s">
        <v>500</v>
      </c>
      <c r="B7" s="8" t="s">
        <v>501</v>
      </c>
      <c r="D7" s="4">
        <f>C7/$C$32</f>
        <v>0</v>
      </c>
      <c r="E7" s="3">
        <v>11</v>
      </c>
      <c r="F7" s="4">
        <f>E7/$E$32</f>
        <v>0.024070021881838075</v>
      </c>
      <c r="G7" s="3">
        <v>36</v>
      </c>
      <c r="H7" s="4">
        <f>G7/$G$32</f>
        <v>0.011877268228307489</v>
      </c>
      <c r="I7" s="10">
        <f aca="true" t="shared" si="0" ref="I7:I32">+(D7+F7+H7)/3</f>
        <v>0.011982430036715189</v>
      </c>
      <c r="J7" s="111"/>
      <c r="K7" s="112">
        <f>I7*$K$32</f>
        <v>598.6904530870767</v>
      </c>
      <c r="L7" s="48"/>
    </row>
    <row r="8" spans="1:12" ht="12.75" outlineLevel="1">
      <c r="A8" s="7" t="s">
        <v>599</v>
      </c>
      <c r="B8" s="8" t="s">
        <v>600</v>
      </c>
      <c r="C8" s="3">
        <f>3+9</f>
        <v>12</v>
      </c>
      <c r="D8" s="4">
        <f aca="true" t="shared" si="1" ref="D8:D31">C8/$C$32</f>
        <v>0.026845637583892617</v>
      </c>
      <c r="F8" s="4">
        <f aca="true" t="shared" si="2" ref="F8:F31">E8/$E$32</f>
        <v>0</v>
      </c>
      <c r="H8" s="4">
        <f aca="true" t="shared" si="3" ref="H8:H31">G8/$G$32</f>
        <v>0</v>
      </c>
      <c r="I8" s="10">
        <f t="shared" si="0"/>
        <v>0.008948545861297539</v>
      </c>
      <c r="J8" s="111"/>
      <c r="K8" s="112">
        <f aca="true" t="shared" si="4" ref="K8:K31">I8*$K$32</f>
        <v>447.1053834451901</v>
      </c>
      <c r="L8" s="48"/>
    </row>
    <row r="9" spans="1:12" ht="12.75" outlineLevel="1">
      <c r="A9" s="7" t="s">
        <v>558</v>
      </c>
      <c r="B9" s="8" t="s">
        <v>559</v>
      </c>
      <c r="D9" s="4">
        <f t="shared" si="1"/>
        <v>0</v>
      </c>
      <c r="F9" s="4">
        <f t="shared" si="2"/>
        <v>0</v>
      </c>
      <c r="G9" s="3">
        <v>5</v>
      </c>
      <c r="H9" s="4">
        <f t="shared" si="3"/>
        <v>0.001649620587264929</v>
      </c>
      <c r="I9" s="10">
        <f t="shared" si="0"/>
        <v>0.0005498735290883097</v>
      </c>
      <c r="J9" s="111"/>
      <c r="K9" s="112">
        <f t="shared" si="4"/>
        <v>27.47389563400418</v>
      </c>
      <c r="L9" s="48"/>
    </row>
    <row r="10" spans="1:12" ht="12.75" outlineLevel="1">
      <c r="A10" s="7" t="s">
        <v>502</v>
      </c>
      <c r="B10" s="8" t="s">
        <v>503</v>
      </c>
      <c r="C10" s="3">
        <f>1</f>
        <v>1</v>
      </c>
      <c r="D10" s="4">
        <f t="shared" si="1"/>
        <v>0.0022371364653243847</v>
      </c>
      <c r="E10" s="3">
        <v>4</v>
      </c>
      <c r="F10" s="4">
        <f t="shared" si="2"/>
        <v>0.0087527352297593</v>
      </c>
      <c r="G10" s="3">
        <v>4</v>
      </c>
      <c r="H10" s="4">
        <f t="shared" si="3"/>
        <v>0.0013196964698119432</v>
      </c>
      <c r="I10" s="10">
        <f t="shared" si="0"/>
        <v>0.004103189388298542</v>
      </c>
      <c r="J10" s="111"/>
      <c r="K10" s="112">
        <f t="shared" si="4"/>
        <v>205.01186374178607</v>
      </c>
      <c r="L10" s="48"/>
    </row>
    <row r="11" spans="1:12" ht="12.75" outlineLevel="1">
      <c r="A11" s="7" t="s">
        <v>504</v>
      </c>
      <c r="B11" s="8" t="s">
        <v>505</v>
      </c>
      <c r="C11" s="3">
        <f>3+3</f>
        <v>6</v>
      </c>
      <c r="D11" s="4">
        <f t="shared" si="1"/>
        <v>0.013422818791946308</v>
      </c>
      <c r="F11" s="4">
        <f t="shared" si="2"/>
        <v>0</v>
      </c>
      <c r="H11" s="4">
        <f t="shared" si="3"/>
        <v>0</v>
      </c>
      <c r="I11" s="10">
        <f t="shared" si="0"/>
        <v>0.0044742729306487695</v>
      </c>
      <c r="J11" s="111"/>
      <c r="K11" s="112">
        <f t="shared" si="4"/>
        <v>223.55269172259506</v>
      </c>
      <c r="L11" s="48"/>
    </row>
    <row r="12" spans="1:12" ht="12.75" outlineLevel="1">
      <c r="A12" s="7" t="s">
        <v>506</v>
      </c>
      <c r="B12" s="8" t="s">
        <v>507</v>
      </c>
      <c r="D12" s="4">
        <f t="shared" si="1"/>
        <v>0</v>
      </c>
      <c r="E12" s="3">
        <v>3</v>
      </c>
      <c r="F12" s="4">
        <f t="shared" si="2"/>
        <v>0.006564551422319475</v>
      </c>
      <c r="G12" s="3">
        <v>80</v>
      </c>
      <c r="H12" s="4">
        <f t="shared" si="3"/>
        <v>0.026393929396238865</v>
      </c>
      <c r="I12" s="10">
        <f t="shared" si="0"/>
        <v>0.010986160272852779</v>
      </c>
      <c r="J12" s="111"/>
      <c r="K12" s="112">
        <f t="shared" si="4"/>
        <v>548.9128041046795</v>
      </c>
      <c r="L12" s="48"/>
    </row>
    <row r="13" spans="1:12" ht="12.75" outlineLevel="1">
      <c r="A13" s="7" t="s">
        <v>508</v>
      </c>
      <c r="B13" s="8" t="s">
        <v>509</v>
      </c>
      <c r="C13" s="3">
        <f>1+1</f>
        <v>2</v>
      </c>
      <c r="D13" s="4">
        <f t="shared" si="1"/>
        <v>0.0044742729306487695</v>
      </c>
      <c r="E13" s="3">
        <v>10</v>
      </c>
      <c r="F13" s="4">
        <f t="shared" si="2"/>
        <v>0.02188183807439825</v>
      </c>
      <c r="G13" s="3">
        <v>590</v>
      </c>
      <c r="H13" s="4">
        <f t="shared" si="3"/>
        <v>0.19465522929726162</v>
      </c>
      <c r="I13" s="10">
        <f t="shared" si="0"/>
        <v>0.07367044676743621</v>
      </c>
      <c r="J13" s="111"/>
      <c r="K13" s="112">
        <f t="shared" si="4"/>
        <v>3680.872161922067</v>
      </c>
      <c r="L13" s="48"/>
    </row>
    <row r="14" spans="1:12" ht="12.75" outlineLevel="1">
      <c r="A14" s="7" t="s">
        <v>510</v>
      </c>
      <c r="B14" s="8" t="s">
        <v>511</v>
      </c>
      <c r="C14" s="3">
        <f>1+1</f>
        <v>2</v>
      </c>
      <c r="D14" s="4">
        <f t="shared" si="1"/>
        <v>0.0044742729306487695</v>
      </c>
      <c r="E14" s="3">
        <v>3</v>
      </c>
      <c r="F14" s="4">
        <f t="shared" si="2"/>
        <v>0.006564551422319475</v>
      </c>
      <c r="G14" s="3">
        <v>15</v>
      </c>
      <c r="H14" s="4">
        <f t="shared" si="3"/>
        <v>0.0049488617617947876</v>
      </c>
      <c r="I14" s="10">
        <f t="shared" si="0"/>
        <v>0.005329228704921011</v>
      </c>
      <c r="J14" s="111"/>
      <c r="K14" s="112">
        <f t="shared" si="4"/>
        <v>266.2697247701569</v>
      </c>
      <c r="L14" s="48"/>
    </row>
    <row r="15" spans="1:12" ht="12.75" outlineLevel="1">
      <c r="A15" s="7" t="s">
        <v>512</v>
      </c>
      <c r="B15" s="8" t="s">
        <v>513</v>
      </c>
      <c r="D15" s="4">
        <f t="shared" si="1"/>
        <v>0</v>
      </c>
      <c r="F15" s="4">
        <f t="shared" si="2"/>
        <v>0</v>
      </c>
      <c r="G15" s="3">
        <v>3</v>
      </c>
      <c r="H15" s="4">
        <f t="shared" si="3"/>
        <v>0.0009897723523589574</v>
      </c>
      <c r="I15" s="10">
        <f t="shared" si="0"/>
        <v>0.0003299241174529858</v>
      </c>
      <c r="J15" s="111"/>
      <c r="K15" s="112">
        <f t="shared" si="4"/>
        <v>16.484337380402508</v>
      </c>
      <c r="L15" s="48"/>
    </row>
    <row r="16" spans="1:12" ht="12.75" outlineLevel="1">
      <c r="A16" s="7" t="s">
        <v>514</v>
      </c>
      <c r="B16" s="8" t="s">
        <v>515</v>
      </c>
      <c r="D16" s="4">
        <f t="shared" si="1"/>
        <v>0</v>
      </c>
      <c r="F16" s="4">
        <f t="shared" si="2"/>
        <v>0</v>
      </c>
      <c r="G16" s="3">
        <v>52</v>
      </c>
      <c r="H16" s="4">
        <f t="shared" si="3"/>
        <v>0.017156054107555264</v>
      </c>
      <c r="I16" s="10">
        <f t="shared" si="0"/>
        <v>0.005718684702518421</v>
      </c>
      <c r="J16" s="111"/>
      <c r="K16" s="112">
        <f t="shared" si="4"/>
        <v>285.72851459364347</v>
      </c>
      <c r="L16" s="48"/>
    </row>
    <row r="17" spans="1:12" ht="12.75" outlineLevel="1">
      <c r="A17" s="7" t="s">
        <v>516</v>
      </c>
      <c r="B17" s="8" t="s">
        <v>517</v>
      </c>
      <c r="D17" s="4">
        <f t="shared" si="1"/>
        <v>0</v>
      </c>
      <c r="F17" s="4">
        <f t="shared" si="2"/>
        <v>0</v>
      </c>
      <c r="G17" s="3">
        <v>5</v>
      </c>
      <c r="H17" s="4">
        <f t="shared" si="3"/>
        <v>0.001649620587264929</v>
      </c>
      <c r="I17" s="10">
        <f t="shared" si="0"/>
        <v>0.0005498735290883097</v>
      </c>
      <c r="J17" s="111"/>
      <c r="K17" s="112">
        <f t="shared" si="4"/>
        <v>27.47389563400418</v>
      </c>
      <c r="L17" s="48"/>
    </row>
    <row r="18" spans="1:12" ht="12.75" outlineLevel="1">
      <c r="A18" s="7" t="s">
        <v>518</v>
      </c>
      <c r="B18" s="8" t="s">
        <v>519</v>
      </c>
      <c r="D18" s="4">
        <f t="shared" si="1"/>
        <v>0</v>
      </c>
      <c r="E18" s="3">
        <v>2</v>
      </c>
      <c r="F18" s="4">
        <f t="shared" si="2"/>
        <v>0.00437636761487965</v>
      </c>
      <c r="G18" s="3">
        <v>52</v>
      </c>
      <c r="H18" s="4">
        <f t="shared" si="3"/>
        <v>0.017156054107555264</v>
      </c>
      <c r="I18" s="10">
        <f t="shared" si="0"/>
        <v>0.0071774739074783045</v>
      </c>
      <c r="J18" s="111"/>
      <c r="K18" s="112">
        <f t="shared" si="4"/>
        <v>358.61549723405193</v>
      </c>
      <c r="L18" s="48"/>
    </row>
    <row r="19" spans="1:12" ht="12.75" outlineLevel="1">
      <c r="A19" s="7" t="s">
        <v>520</v>
      </c>
      <c r="B19" s="8" t="s">
        <v>521</v>
      </c>
      <c r="D19" s="4">
        <f t="shared" si="1"/>
        <v>0</v>
      </c>
      <c r="F19" s="4">
        <f t="shared" si="2"/>
        <v>0</v>
      </c>
      <c r="G19" s="3">
        <v>11</v>
      </c>
      <c r="H19" s="4">
        <f t="shared" si="3"/>
        <v>0.003629165291982844</v>
      </c>
      <c r="I19" s="10">
        <f t="shared" si="0"/>
        <v>0.0012097217639942812</v>
      </c>
      <c r="J19" s="111"/>
      <c r="K19" s="112">
        <f t="shared" si="4"/>
        <v>60.44257039480919</v>
      </c>
      <c r="L19" s="48"/>
    </row>
    <row r="20" spans="1:12" ht="12.75" outlineLevel="1">
      <c r="A20" s="7" t="s">
        <v>522</v>
      </c>
      <c r="B20" s="8" t="s">
        <v>523</v>
      </c>
      <c r="C20" s="3">
        <f>18+16</f>
        <v>34</v>
      </c>
      <c r="D20" s="4">
        <f t="shared" si="1"/>
        <v>0.07606263982102908</v>
      </c>
      <c r="E20" s="3">
        <f>3+12+13+10+4+5+3+5+6+5+5+13+4+6+3+7</f>
        <v>104</v>
      </c>
      <c r="F20" s="4">
        <f t="shared" si="2"/>
        <v>0.2275711159737418</v>
      </c>
      <c r="G20" s="3">
        <v>355</v>
      </c>
      <c r="H20" s="4">
        <f t="shared" si="3"/>
        <v>0.11712306169580997</v>
      </c>
      <c r="I20" s="10">
        <f t="shared" si="0"/>
        <v>0.14025227249686026</v>
      </c>
      <c r="J20" s="111"/>
      <c r="K20" s="112">
        <f t="shared" si="4"/>
        <v>7007.568273743574</v>
      </c>
      <c r="L20" s="48"/>
    </row>
    <row r="21" spans="1:12" ht="12.75" outlineLevel="1">
      <c r="A21" s="7" t="s">
        <v>524</v>
      </c>
      <c r="B21" s="8" t="s">
        <v>525</v>
      </c>
      <c r="C21" s="3">
        <f>3+1</f>
        <v>4</v>
      </c>
      <c r="D21" s="4">
        <f t="shared" si="1"/>
        <v>0.008948545861297539</v>
      </c>
      <c r="E21" s="3">
        <v>48</v>
      </c>
      <c r="F21" s="4">
        <f t="shared" si="2"/>
        <v>0.1050328227571116</v>
      </c>
      <c r="G21" s="3">
        <v>168</v>
      </c>
      <c r="H21" s="4">
        <f t="shared" si="3"/>
        <v>0.05542725173210162</v>
      </c>
      <c r="I21" s="10">
        <f t="shared" si="0"/>
        <v>0.056469540116836914</v>
      </c>
      <c r="J21" s="111"/>
      <c r="K21" s="112">
        <f t="shared" si="4"/>
        <v>2821.4456044874064</v>
      </c>
      <c r="L21" s="48"/>
    </row>
    <row r="22" spans="1:12" ht="12.75" outlineLevel="1">
      <c r="A22" s="7" t="s">
        <v>526</v>
      </c>
      <c r="B22" s="8" t="s">
        <v>527</v>
      </c>
      <c r="D22" s="4">
        <f t="shared" si="1"/>
        <v>0</v>
      </c>
      <c r="F22" s="4">
        <f t="shared" si="2"/>
        <v>0</v>
      </c>
      <c r="G22" s="3">
        <v>4</v>
      </c>
      <c r="H22" s="4">
        <f t="shared" si="3"/>
        <v>0.0013196964698119432</v>
      </c>
      <c r="I22" s="10">
        <f t="shared" si="0"/>
        <v>0.00043989882327064776</v>
      </c>
      <c r="J22" s="111"/>
      <c r="K22" s="112">
        <f t="shared" si="4"/>
        <v>21.979116507203344</v>
      </c>
      <c r="L22" s="48"/>
    </row>
    <row r="23" spans="1:12" ht="12.75" outlineLevel="1">
      <c r="A23" s="7" t="s">
        <v>528</v>
      </c>
      <c r="B23" s="8" t="s">
        <v>529</v>
      </c>
      <c r="C23" s="3">
        <f>24+63+1+1</f>
        <v>89</v>
      </c>
      <c r="D23" s="4">
        <f t="shared" si="1"/>
        <v>0.19910514541387025</v>
      </c>
      <c r="E23" s="3">
        <v>112</v>
      </c>
      <c r="F23" s="4">
        <f t="shared" si="2"/>
        <v>0.24507658643326038</v>
      </c>
      <c r="G23" s="3">
        <v>418</v>
      </c>
      <c r="H23" s="4">
        <f t="shared" si="3"/>
        <v>0.13790828109534806</v>
      </c>
      <c r="I23" s="10">
        <f t="shared" si="0"/>
        <v>0.19403000431415954</v>
      </c>
      <c r="J23" s="111"/>
      <c r="K23" s="112">
        <f t="shared" si="4"/>
        <v>9694.520296750781</v>
      </c>
      <c r="L23" s="48"/>
    </row>
    <row r="24" spans="1:12" ht="12.75" outlineLevel="1">
      <c r="A24" s="7" t="s">
        <v>530</v>
      </c>
      <c r="B24" s="8" t="s">
        <v>531</v>
      </c>
      <c r="D24" s="4">
        <f t="shared" si="1"/>
        <v>0</v>
      </c>
      <c r="E24" s="3">
        <v>19</v>
      </c>
      <c r="F24" s="4">
        <f t="shared" si="2"/>
        <v>0.04157549234135667</v>
      </c>
      <c r="G24" s="3">
        <v>5</v>
      </c>
      <c r="H24" s="4">
        <f t="shared" si="3"/>
        <v>0.001649620587264929</v>
      </c>
      <c r="I24" s="10">
        <f t="shared" si="0"/>
        <v>0.0144083709762072</v>
      </c>
      <c r="J24" s="111"/>
      <c r="K24" s="112">
        <f t="shared" si="4"/>
        <v>719.9002307178845</v>
      </c>
      <c r="L24" s="48"/>
    </row>
    <row r="25" spans="1:12" ht="12.75" outlineLevel="1">
      <c r="A25" s="7" t="s">
        <v>614</v>
      </c>
      <c r="B25" s="8" t="s">
        <v>615</v>
      </c>
      <c r="D25" s="4">
        <f t="shared" si="1"/>
        <v>0</v>
      </c>
      <c r="E25" s="3">
        <v>67</v>
      </c>
      <c r="F25" s="4">
        <f t="shared" si="2"/>
        <v>0.14660831509846828</v>
      </c>
      <c r="G25" s="3">
        <v>66</v>
      </c>
      <c r="H25" s="4">
        <f t="shared" si="3"/>
        <v>0.021774991751897062</v>
      </c>
      <c r="I25" s="10">
        <f t="shared" si="0"/>
        <v>0.05612776895012178</v>
      </c>
      <c r="J25" s="111"/>
      <c r="K25" s="112">
        <f t="shared" si="4"/>
        <v>2804.3693408225386</v>
      </c>
      <c r="L25" s="48"/>
    </row>
    <row r="26" spans="1:12" ht="12.75" outlineLevel="1">
      <c r="A26" s="7" t="s">
        <v>532</v>
      </c>
      <c r="B26" s="8" t="s">
        <v>533</v>
      </c>
      <c r="D26" s="4">
        <f t="shared" si="1"/>
        <v>0</v>
      </c>
      <c r="F26" s="4">
        <f t="shared" si="2"/>
        <v>0</v>
      </c>
      <c r="G26" s="3">
        <v>7</v>
      </c>
      <c r="H26" s="4">
        <f t="shared" si="3"/>
        <v>0.0023094688221709007</v>
      </c>
      <c r="I26" s="10">
        <f t="shared" si="0"/>
        <v>0.0007698229407236335</v>
      </c>
      <c r="J26" s="111"/>
      <c r="K26" s="112">
        <f t="shared" si="4"/>
        <v>38.463453887605844</v>
      </c>
      <c r="L26" s="48"/>
    </row>
    <row r="27" spans="1:12" ht="12.75" outlineLevel="1">
      <c r="A27" s="7" t="s">
        <v>534</v>
      </c>
      <c r="B27" s="8" t="s">
        <v>535</v>
      </c>
      <c r="C27" s="3">
        <f>2</f>
        <v>2</v>
      </c>
      <c r="D27" s="4">
        <f t="shared" si="1"/>
        <v>0.0044742729306487695</v>
      </c>
      <c r="E27" s="3">
        <v>11</v>
      </c>
      <c r="F27" s="4">
        <f t="shared" si="2"/>
        <v>0.024070021881838075</v>
      </c>
      <c r="G27" s="3">
        <v>322</v>
      </c>
      <c r="H27" s="4">
        <f t="shared" si="3"/>
        <v>0.10623556581986143</v>
      </c>
      <c r="I27" s="10">
        <f t="shared" si="0"/>
        <v>0.04492662021078276</v>
      </c>
      <c r="J27" s="111"/>
      <c r="K27" s="112">
        <f t="shared" si="4"/>
        <v>2244.7148472596473</v>
      </c>
      <c r="L27" s="48"/>
    </row>
    <row r="28" spans="1:12" ht="24" customHeight="1" outlineLevel="1">
      <c r="A28" s="7" t="s">
        <v>536</v>
      </c>
      <c r="B28" s="16" t="s">
        <v>537</v>
      </c>
      <c r="C28" s="3">
        <f>29+13</f>
        <v>42</v>
      </c>
      <c r="D28" s="4">
        <f t="shared" si="1"/>
        <v>0.09395973154362416</v>
      </c>
      <c r="E28" s="3">
        <f>28+2</f>
        <v>30</v>
      </c>
      <c r="F28" s="4">
        <f t="shared" si="2"/>
        <v>0.06564551422319474</v>
      </c>
      <c r="G28" s="3">
        <f>256+5+9</f>
        <v>270</v>
      </c>
      <c r="H28" s="4">
        <f t="shared" si="3"/>
        <v>0.08907951171230617</v>
      </c>
      <c r="I28" s="10">
        <f t="shared" si="0"/>
        <v>0.08289491915970836</v>
      </c>
      <c r="J28" s="111"/>
      <c r="K28" s="112">
        <f t="shared" si="4"/>
        <v>4141.763945900518</v>
      </c>
      <c r="L28" s="48"/>
    </row>
    <row r="29" spans="1:12" ht="12.75" outlineLevel="1">
      <c r="A29" s="7" t="s">
        <v>538</v>
      </c>
      <c r="B29" s="8" t="s">
        <v>539</v>
      </c>
      <c r="D29" s="4">
        <f t="shared" si="1"/>
        <v>0</v>
      </c>
      <c r="F29" s="4">
        <f t="shared" si="2"/>
        <v>0</v>
      </c>
      <c r="G29" s="3">
        <v>26</v>
      </c>
      <c r="H29" s="4">
        <f t="shared" si="3"/>
        <v>0.008578027053777632</v>
      </c>
      <c r="I29" s="10">
        <f t="shared" si="0"/>
        <v>0.0028593423512592105</v>
      </c>
      <c r="J29" s="111"/>
      <c r="K29" s="112">
        <f t="shared" si="4"/>
        <v>142.86425729682173</v>
      </c>
      <c r="L29" s="48"/>
    </row>
    <row r="30" spans="1:12" ht="12.75" outlineLevel="1">
      <c r="A30" s="7" t="s">
        <v>540</v>
      </c>
      <c r="B30" s="8" t="s">
        <v>541</v>
      </c>
      <c r="D30" s="4">
        <f t="shared" si="1"/>
        <v>0</v>
      </c>
      <c r="F30" s="4">
        <f t="shared" si="2"/>
        <v>0</v>
      </c>
      <c r="H30" s="4">
        <f t="shared" si="3"/>
        <v>0</v>
      </c>
      <c r="I30" s="10">
        <f t="shared" si="0"/>
        <v>0</v>
      </c>
      <c r="J30" s="111"/>
      <c r="K30" s="112">
        <f t="shared" si="4"/>
        <v>0</v>
      </c>
      <c r="L30" s="48"/>
    </row>
    <row r="31" spans="1:12" ht="12.75" outlineLevel="1">
      <c r="A31" s="7" t="s">
        <v>542</v>
      </c>
      <c r="B31" s="8" t="s">
        <v>543</v>
      </c>
      <c r="C31" s="3">
        <f>203+50</f>
        <v>253</v>
      </c>
      <c r="D31" s="4">
        <f t="shared" si="1"/>
        <v>0.5659955257270693</v>
      </c>
      <c r="E31" s="3">
        <v>33</v>
      </c>
      <c r="F31" s="4">
        <f t="shared" si="2"/>
        <v>0.07221006564551423</v>
      </c>
      <c r="G31" s="3">
        <v>537</v>
      </c>
      <c r="H31" s="4">
        <f t="shared" si="3"/>
        <v>0.17716925107225337</v>
      </c>
      <c r="I31" s="10">
        <f t="shared" si="0"/>
        <v>0.27179161414827896</v>
      </c>
      <c r="J31" s="111"/>
      <c r="K31" s="112">
        <f t="shared" si="4"/>
        <v>13579.803438961546</v>
      </c>
      <c r="L31" s="48"/>
    </row>
    <row r="32" spans="1:12" ht="13.5" thickBot="1">
      <c r="A32" s="14" t="s">
        <v>544</v>
      </c>
      <c r="B32" s="17"/>
      <c r="C32" s="1">
        <f aca="true" t="shared" si="5" ref="C32:H32">SUM(C7:C31)</f>
        <v>447</v>
      </c>
      <c r="D32" s="15">
        <f t="shared" si="5"/>
        <v>1</v>
      </c>
      <c r="E32" s="1">
        <f t="shared" si="5"/>
        <v>457</v>
      </c>
      <c r="F32" s="15">
        <f t="shared" si="5"/>
        <v>1</v>
      </c>
      <c r="G32" s="1">
        <f t="shared" si="5"/>
        <v>3031</v>
      </c>
      <c r="H32" s="15">
        <f t="shared" si="5"/>
        <v>1</v>
      </c>
      <c r="I32" s="10">
        <f t="shared" si="0"/>
        <v>1</v>
      </c>
      <c r="J32" s="113"/>
      <c r="K32" s="114">
        <f>'FY12 to FY11 Comparison'!K22:L22</f>
        <v>49964.0266</v>
      </c>
      <c r="L32" s="66"/>
    </row>
    <row r="34" ht="12.75">
      <c r="K34" s="76">
        <f>SUM(K7:K31)</f>
        <v>49964.0266</v>
      </c>
    </row>
  </sheetData>
  <mergeCells count="2">
    <mergeCell ref="J3:L4"/>
    <mergeCell ref="J5:L5"/>
  </mergeCells>
  <printOptions/>
  <pageMargins left="0.25" right="0.25" top="0.25" bottom="0.25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1"/>
  <sheetViews>
    <sheetView workbookViewId="0" topLeftCell="A1">
      <pane xSplit="1" ySplit="5" topLeftCell="B6" activePane="bottomRight" state="frozen"/>
      <selection pane="topLeft" activeCell="R47" sqref="A1:R47"/>
      <selection pane="topRight" activeCell="R47" sqref="A1:R47"/>
      <selection pane="bottomLeft" activeCell="R47" sqref="A1:R47"/>
      <selection pane="bottomRight" activeCell="N10" sqref="N10"/>
    </sheetView>
  </sheetViews>
  <sheetFormatPr defaultColWidth="9.140625" defaultRowHeight="12.75"/>
  <cols>
    <col min="1" max="1" width="42.57421875" style="7" bestFit="1" customWidth="1"/>
    <col min="2" max="2" width="8.140625" style="8" hidden="1" customWidth="1"/>
    <col min="3" max="3" width="7.28125" style="3" hidden="1" customWidth="1"/>
    <col min="4" max="4" width="7.00390625" style="4" hidden="1" customWidth="1"/>
    <col min="5" max="5" width="11.7109375" style="3" hidden="1" customWidth="1"/>
    <col min="6" max="6" width="7.00390625" style="4" hidden="1" customWidth="1"/>
    <col min="7" max="7" width="14.00390625" style="3" hidden="1" customWidth="1"/>
    <col min="8" max="8" width="7.00390625" style="4" hidden="1" customWidth="1"/>
    <col min="9" max="9" width="8.57421875" style="5" hidden="1" customWidth="1"/>
    <col min="10" max="10" width="8.8515625" style="7" customWidth="1"/>
    <col min="11" max="11" width="7.57421875" style="7" bestFit="1" customWidth="1"/>
    <col min="12" max="16384" width="8.8515625" style="7" customWidth="1"/>
  </cols>
  <sheetData>
    <row r="1" spans="1:2" ht="12.75" customHeight="1">
      <c r="A1" s="1" t="s">
        <v>0</v>
      </c>
      <c r="B1" s="2"/>
    </row>
    <row r="2" spans="1:2" ht="13.5" thickBot="1">
      <c r="A2" s="1" t="s">
        <v>596</v>
      </c>
      <c r="B2" s="2"/>
    </row>
    <row r="3" spans="7:12" ht="12.75" customHeight="1">
      <c r="G3" s="3" t="s">
        <v>597</v>
      </c>
      <c r="J3" s="135" t="s">
        <v>1</v>
      </c>
      <c r="K3" s="136"/>
      <c r="L3" s="137"/>
    </row>
    <row r="4" spans="3:12" ht="13.5" thickBot="1">
      <c r="C4" s="3" t="s">
        <v>2</v>
      </c>
      <c r="D4" s="4" t="s">
        <v>3</v>
      </c>
      <c r="E4" s="3" t="s">
        <v>4</v>
      </c>
      <c r="F4" s="4" t="s">
        <v>3</v>
      </c>
      <c r="G4" s="3" t="s">
        <v>4</v>
      </c>
      <c r="H4" s="4" t="s">
        <v>3</v>
      </c>
      <c r="I4" s="10" t="s">
        <v>5</v>
      </c>
      <c r="J4" s="138"/>
      <c r="K4" s="139"/>
      <c r="L4" s="140"/>
    </row>
    <row r="5" spans="1:12" ht="12.75">
      <c r="A5" s="11" t="s">
        <v>6</v>
      </c>
      <c r="B5" s="12" t="s">
        <v>7</v>
      </c>
      <c r="C5" s="13" t="s">
        <v>8</v>
      </c>
      <c r="D5" s="4" t="s">
        <v>9</v>
      </c>
      <c r="E5" s="13" t="s">
        <v>10</v>
      </c>
      <c r="F5" s="4" t="s">
        <v>9</v>
      </c>
      <c r="G5" s="13" t="s">
        <v>11</v>
      </c>
      <c r="H5" s="4" t="s">
        <v>9</v>
      </c>
      <c r="I5" s="10" t="s">
        <v>12</v>
      </c>
      <c r="J5" s="141" t="s">
        <v>622</v>
      </c>
      <c r="K5" s="142"/>
      <c r="L5" s="143"/>
    </row>
    <row r="6" spans="1:12" ht="12.75">
      <c r="A6" s="1" t="s">
        <v>13</v>
      </c>
      <c r="B6" s="2"/>
      <c r="I6" s="10"/>
      <c r="J6" s="111"/>
      <c r="K6" s="112"/>
      <c r="L6" s="48"/>
    </row>
    <row r="7" spans="1:12" ht="12.75">
      <c r="A7" s="7" t="s">
        <v>14</v>
      </c>
      <c r="B7" s="8" t="s">
        <v>15</v>
      </c>
      <c r="D7" s="4">
        <f>C7/$C$42</f>
        <v>0</v>
      </c>
      <c r="F7" s="4">
        <f>E7/$E$42</f>
        <v>0</v>
      </c>
      <c r="G7" s="3">
        <v>85</v>
      </c>
      <c r="H7" s="4">
        <f>G7/$G$42</f>
        <v>0.025215069712251556</v>
      </c>
      <c r="I7" s="10">
        <f aca="true" t="shared" si="0" ref="I7:I42">+(D7+F7+H7)/3</f>
        <v>0.008405023237417186</v>
      </c>
      <c r="J7" s="111"/>
      <c r="K7" s="112">
        <f aca="true" t="shared" si="1" ref="K7:K41">$K$42*I7</f>
        <v>568.5553300207654</v>
      </c>
      <c r="L7" s="48"/>
    </row>
    <row r="8" spans="1:12" ht="12.75">
      <c r="A8" s="7" t="s">
        <v>16</v>
      </c>
      <c r="B8" s="8" t="s">
        <v>17</v>
      </c>
      <c r="D8" s="4">
        <f aca="true" t="shared" si="2" ref="D8:D41">C8/$C$42</f>
        <v>0</v>
      </c>
      <c r="E8" s="3">
        <f>1+1+4+2+1+2+3</f>
        <v>14</v>
      </c>
      <c r="F8" s="4">
        <f aca="true" t="shared" si="3" ref="F8:F41">E8/$E$42</f>
        <v>0.03146067415730337</v>
      </c>
      <c r="G8" s="3">
        <f>84+9</f>
        <v>93</v>
      </c>
      <c r="H8" s="4">
        <f aca="true" t="shared" si="4" ref="H8:H41">G8/$G$42</f>
        <v>0.027588252743992882</v>
      </c>
      <c r="I8" s="10">
        <f t="shared" si="0"/>
        <v>0.019682975633765417</v>
      </c>
      <c r="J8" s="111"/>
      <c r="K8" s="112">
        <f t="shared" si="1"/>
        <v>1331.4491097927132</v>
      </c>
      <c r="L8" s="48"/>
    </row>
    <row r="9" spans="1:12" ht="12.75">
      <c r="A9" s="7" t="s">
        <v>18</v>
      </c>
      <c r="B9" s="8" t="s">
        <v>557</v>
      </c>
      <c r="C9" s="3">
        <f>1</f>
        <v>1</v>
      </c>
      <c r="D9" s="4">
        <f t="shared" si="2"/>
        <v>0.0007501875468867217</v>
      </c>
      <c r="E9" s="3">
        <f>19</f>
        <v>19</v>
      </c>
      <c r="F9" s="4">
        <f t="shared" si="3"/>
        <v>0.04269662921348315</v>
      </c>
      <c r="G9" s="3">
        <v>52</v>
      </c>
      <c r="H9" s="4">
        <f t="shared" si="4"/>
        <v>0.0154256897063186</v>
      </c>
      <c r="I9" s="10">
        <f t="shared" si="0"/>
        <v>0.01962416882222949</v>
      </c>
      <c r="J9" s="111"/>
      <c r="K9" s="112">
        <f t="shared" si="1"/>
        <v>1327.4711402861647</v>
      </c>
      <c r="L9" s="48"/>
    </row>
    <row r="10" spans="1:12" ht="12.75">
      <c r="A10" s="7" t="s">
        <v>19</v>
      </c>
      <c r="B10" s="8" t="s">
        <v>20</v>
      </c>
      <c r="D10" s="4">
        <f t="shared" si="2"/>
        <v>0</v>
      </c>
      <c r="F10" s="4">
        <f t="shared" si="3"/>
        <v>0</v>
      </c>
      <c r="G10" s="3">
        <v>17</v>
      </c>
      <c r="H10" s="4">
        <f t="shared" si="4"/>
        <v>0.005043013942450311</v>
      </c>
      <c r="I10" s="10">
        <f t="shared" si="0"/>
        <v>0.0016810046474834371</v>
      </c>
      <c r="J10" s="111"/>
      <c r="K10" s="112">
        <f t="shared" si="1"/>
        <v>113.71106600415307</v>
      </c>
      <c r="L10" s="48"/>
    </row>
    <row r="11" spans="1:12" ht="12.75">
      <c r="A11" s="7" t="s">
        <v>21</v>
      </c>
      <c r="B11" s="8" t="s">
        <v>22</v>
      </c>
      <c r="C11" s="3">
        <f>12+2</f>
        <v>14</v>
      </c>
      <c r="D11" s="4">
        <f t="shared" si="2"/>
        <v>0.010502625656414103</v>
      </c>
      <c r="E11" s="3">
        <f>16+1+1+4+11</f>
        <v>33</v>
      </c>
      <c r="F11" s="4">
        <f t="shared" si="3"/>
        <v>0.07415730337078652</v>
      </c>
      <c r="G11" s="3">
        <v>197</v>
      </c>
      <c r="H11" s="4">
        <f t="shared" si="4"/>
        <v>0.05843963215663008</v>
      </c>
      <c r="I11" s="10">
        <f t="shared" si="0"/>
        <v>0.047699853727943574</v>
      </c>
      <c r="J11" s="111"/>
      <c r="K11" s="112">
        <f t="shared" si="1"/>
        <v>3226.642605519674</v>
      </c>
      <c r="L11" s="48"/>
    </row>
    <row r="12" spans="1:12" ht="12.75">
      <c r="A12" s="7" t="s">
        <v>609</v>
      </c>
      <c r="B12" s="8" t="s">
        <v>94</v>
      </c>
      <c r="D12" s="4">
        <f t="shared" si="2"/>
        <v>0</v>
      </c>
      <c r="E12" s="3">
        <v>37</v>
      </c>
      <c r="F12" s="4">
        <f t="shared" si="3"/>
        <v>0.08314606741573034</v>
      </c>
      <c r="G12" s="3">
        <v>42</v>
      </c>
      <c r="H12" s="4">
        <f t="shared" si="4"/>
        <v>0.012459210916641946</v>
      </c>
      <c r="I12" s="10">
        <f t="shared" si="0"/>
        <v>0.031868426110790764</v>
      </c>
      <c r="J12" s="111"/>
      <c r="K12" s="112">
        <f t="shared" si="1"/>
        <v>2155.7303308813775</v>
      </c>
      <c r="L12" s="48"/>
    </row>
    <row r="13" spans="1:12" ht="12.75">
      <c r="A13" s="7" t="s">
        <v>23</v>
      </c>
      <c r="B13" s="8" t="s">
        <v>24</v>
      </c>
      <c r="D13" s="4">
        <f t="shared" si="2"/>
        <v>0</v>
      </c>
      <c r="E13" s="3">
        <f>16</f>
        <v>16</v>
      </c>
      <c r="F13" s="4">
        <f t="shared" si="3"/>
        <v>0.035955056179775284</v>
      </c>
      <c r="G13" s="3">
        <v>50</v>
      </c>
      <c r="H13" s="4">
        <f t="shared" si="4"/>
        <v>0.014832393948383269</v>
      </c>
      <c r="I13" s="10">
        <f t="shared" si="0"/>
        <v>0.016929150042719516</v>
      </c>
      <c r="J13" s="111"/>
      <c r="K13" s="112">
        <f t="shared" si="1"/>
        <v>1145.167385934224</v>
      </c>
      <c r="L13" s="48"/>
    </row>
    <row r="14" spans="1:12" ht="12.75">
      <c r="A14" s="7" t="s">
        <v>25</v>
      </c>
      <c r="B14" s="8" t="s">
        <v>26</v>
      </c>
      <c r="D14" s="4">
        <f t="shared" si="2"/>
        <v>0</v>
      </c>
      <c r="E14" s="3">
        <f>1+1+1+1+2+2+1+7</f>
        <v>16</v>
      </c>
      <c r="F14" s="4">
        <f t="shared" si="3"/>
        <v>0.035955056179775284</v>
      </c>
      <c r="G14" s="3">
        <v>162</v>
      </c>
      <c r="H14" s="4">
        <f t="shared" si="4"/>
        <v>0.04805695639276179</v>
      </c>
      <c r="I14" s="10">
        <f t="shared" si="0"/>
        <v>0.02800400419084569</v>
      </c>
      <c r="J14" s="111"/>
      <c r="K14" s="112">
        <f t="shared" si="1"/>
        <v>1894.3226443145265</v>
      </c>
      <c r="L14" s="48"/>
    </row>
    <row r="15" spans="1:12" ht="12.75">
      <c r="A15" s="7" t="s">
        <v>27</v>
      </c>
      <c r="B15" s="8" t="s">
        <v>28</v>
      </c>
      <c r="C15" s="3">
        <f>23+24</f>
        <v>47</v>
      </c>
      <c r="D15" s="4">
        <f t="shared" si="2"/>
        <v>0.035258814703675916</v>
      </c>
      <c r="E15" s="3">
        <f>3+3+1+9+1+1+2+5</f>
        <v>25</v>
      </c>
      <c r="F15" s="4">
        <f t="shared" si="3"/>
        <v>0.056179775280898875</v>
      </c>
      <c r="G15" s="3">
        <f>20+36</f>
        <v>56</v>
      </c>
      <c r="H15" s="4">
        <f t="shared" si="4"/>
        <v>0.01661228122218926</v>
      </c>
      <c r="I15" s="10">
        <f t="shared" si="0"/>
        <v>0.03601695706892135</v>
      </c>
      <c r="J15" s="111"/>
      <c r="K15" s="112">
        <f t="shared" si="1"/>
        <v>2436.356489950285</v>
      </c>
      <c r="L15" s="48"/>
    </row>
    <row r="16" spans="1:12" ht="12.75">
      <c r="A16" s="7" t="s">
        <v>590</v>
      </c>
      <c r="B16" s="8" t="s">
        <v>591</v>
      </c>
      <c r="D16" s="4">
        <f t="shared" si="2"/>
        <v>0</v>
      </c>
      <c r="F16" s="4">
        <f t="shared" si="3"/>
        <v>0</v>
      </c>
      <c r="H16" s="4">
        <f t="shared" si="4"/>
        <v>0</v>
      </c>
      <c r="I16" s="10">
        <f t="shared" si="0"/>
        <v>0</v>
      </c>
      <c r="J16" s="111"/>
      <c r="K16" s="112">
        <f t="shared" si="1"/>
        <v>0</v>
      </c>
      <c r="L16" s="48"/>
    </row>
    <row r="17" spans="1:12" ht="12.75">
      <c r="A17" s="7" t="s">
        <v>29</v>
      </c>
      <c r="B17" s="8" t="s">
        <v>30</v>
      </c>
      <c r="D17" s="4">
        <f t="shared" si="2"/>
        <v>0</v>
      </c>
      <c r="E17" s="3">
        <v>8</v>
      </c>
      <c r="F17" s="4">
        <f t="shared" si="3"/>
        <v>0.017977528089887642</v>
      </c>
      <c r="G17" s="3">
        <v>20</v>
      </c>
      <c r="H17" s="4">
        <f t="shared" si="4"/>
        <v>0.0059329575793533075</v>
      </c>
      <c r="I17" s="10">
        <f t="shared" si="0"/>
        <v>0.007970161889746983</v>
      </c>
      <c r="J17" s="111"/>
      <c r="K17" s="112">
        <f t="shared" si="1"/>
        <v>539.13926178942</v>
      </c>
      <c r="L17" s="48"/>
    </row>
    <row r="18" spans="1:12" ht="12.75">
      <c r="A18" s="7" t="s">
        <v>31</v>
      </c>
      <c r="B18" s="8" t="s">
        <v>32</v>
      </c>
      <c r="D18" s="4">
        <f t="shared" si="2"/>
        <v>0</v>
      </c>
      <c r="F18" s="4">
        <f t="shared" si="3"/>
        <v>0</v>
      </c>
      <c r="G18" s="3">
        <v>10</v>
      </c>
      <c r="H18" s="4">
        <f t="shared" si="4"/>
        <v>0.0029664787896766538</v>
      </c>
      <c r="I18" s="10">
        <f t="shared" si="0"/>
        <v>0.0009888262632255513</v>
      </c>
      <c r="J18" s="111"/>
      <c r="K18" s="112">
        <f t="shared" si="1"/>
        <v>66.88886235538416</v>
      </c>
      <c r="L18" s="48"/>
    </row>
    <row r="19" spans="1:12" ht="12.75">
      <c r="A19" s="7" t="s">
        <v>33</v>
      </c>
      <c r="B19" s="8" t="s">
        <v>34</v>
      </c>
      <c r="D19" s="4">
        <f t="shared" si="2"/>
        <v>0</v>
      </c>
      <c r="E19" s="3">
        <v>11</v>
      </c>
      <c r="F19" s="4">
        <f t="shared" si="3"/>
        <v>0.024719101123595506</v>
      </c>
      <c r="G19" s="3">
        <v>36</v>
      </c>
      <c r="H19" s="4">
        <f t="shared" si="4"/>
        <v>0.010679323642835954</v>
      </c>
      <c r="I19" s="10">
        <f t="shared" si="0"/>
        <v>0.011799474922143819</v>
      </c>
      <c r="J19" s="111"/>
      <c r="K19" s="112">
        <f t="shared" si="1"/>
        <v>798.1720179625289</v>
      </c>
      <c r="L19" s="48"/>
    </row>
    <row r="20" spans="1:12" ht="12.75">
      <c r="A20" s="7" t="s">
        <v>35</v>
      </c>
      <c r="B20" s="8" t="s">
        <v>36</v>
      </c>
      <c r="D20" s="4">
        <f t="shared" si="2"/>
        <v>0</v>
      </c>
      <c r="F20" s="4">
        <f t="shared" si="3"/>
        <v>0</v>
      </c>
      <c r="G20" s="3">
        <v>522</v>
      </c>
      <c r="H20" s="4">
        <f t="shared" si="4"/>
        <v>0.15485019282112134</v>
      </c>
      <c r="I20" s="10">
        <f t="shared" si="0"/>
        <v>0.05161673094037378</v>
      </c>
      <c r="J20" s="111"/>
      <c r="K20" s="112">
        <f t="shared" si="1"/>
        <v>3491.598614951053</v>
      </c>
      <c r="L20" s="48"/>
    </row>
    <row r="21" spans="1:12" ht="12.75">
      <c r="A21" s="7" t="s">
        <v>37</v>
      </c>
      <c r="B21" s="8" t="s">
        <v>38</v>
      </c>
      <c r="D21" s="4">
        <f t="shared" si="2"/>
        <v>0</v>
      </c>
      <c r="E21" s="3">
        <v>1</v>
      </c>
      <c r="F21" s="4">
        <f t="shared" si="3"/>
        <v>0.0022471910112359553</v>
      </c>
      <c r="G21" s="3">
        <v>70</v>
      </c>
      <c r="H21" s="4">
        <f t="shared" si="4"/>
        <v>0.020765351527736578</v>
      </c>
      <c r="I21" s="10">
        <f t="shared" si="0"/>
        <v>0.007670847512990845</v>
      </c>
      <c r="J21" s="111"/>
      <c r="K21" s="112">
        <f t="shared" si="1"/>
        <v>518.8922286225206</v>
      </c>
      <c r="L21" s="48"/>
    </row>
    <row r="22" spans="1:12" ht="12.75">
      <c r="A22" s="7" t="s">
        <v>39</v>
      </c>
      <c r="B22" s="8" t="s">
        <v>40</v>
      </c>
      <c r="C22" s="3">
        <f>1+1</f>
        <v>2</v>
      </c>
      <c r="D22" s="4">
        <f t="shared" si="2"/>
        <v>0.0015003750937734434</v>
      </c>
      <c r="E22" s="3">
        <v>3</v>
      </c>
      <c r="F22" s="4">
        <f t="shared" si="3"/>
        <v>0.006741573033707865</v>
      </c>
      <c r="G22" s="3">
        <v>32</v>
      </c>
      <c r="H22" s="4">
        <f t="shared" si="4"/>
        <v>0.009492732126965293</v>
      </c>
      <c r="I22" s="10">
        <f t="shared" si="0"/>
        <v>0.005911560084815534</v>
      </c>
      <c r="J22" s="111"/>
      <c r="K22" s="112">
        <f t="shared" si="1"/>
        <v>399.8857468944619</v>
      </c>
      <c r="L22" s="48"/>
    </row>
    <row r="23" spans="1:12" ht="12.75">
      <c r="A23" s="7" t="s">
        <v>41</v>
      </c>
      <c r="B23" s="8" t="s">
        <v>42</v>
      </c>
      <c r="D23" s="4">
        <f t="shared" si="2"/>
        <v>0</v>
      </c>
      <c r="F23" s="4">
        <f t="shared" si="3"/>
        <v>0</v>
      </c>
      <c r="G23" s="3">
        <v>2</v>
      </c>
      <c r="H23" s="4">
        <f t="shared" si="4"/>
        <v>0.0005932957579353308</v>
      </c>
      <c r="I23" s="10">
        <f t="shared" si="0"/>
        <v>0.00019776525264511026</v>
      </c>
      <c r="J23" s="111"/>
      <c r="K23" s="112">
        <f t="shared" si="1"/>
        <v>13.377772471076833</v>
      </c>
      <c r="L23" s="48"/>
    </row>
    <row r="24" spans="1:12" ht="12.75">
      <c r="A24" s="7" t="s">
        <v>43</v>
      </c>
      <c r="B24" s="8" t="s">
        <v>44</v>
      </c>
      <c r="D24" s="4">
        <f t="shared" si="2"/>
        <v>0</v>
      </c>
      <c r="E24" s="3">
        <v>11</v>
      </c>
      <c r="F24" s="4">
        <f t="shared" si="3"/>
        <v>0.024719101123595506</v>
      </c>
      <c r="G24" s="3">
        <v>57</v>
      </c>
      <c r="H24" s="4">
        <f t="shared" si="4"/>
        <v>0.016908929101156926</v>
      </c>
      <c r="I24" s="10">
        <f t="shared" si="0"/>
        <v>0.013876010074917478</v>
      </c>
      <c r="J24" s="111"/>
      <c r="K24" s="112">
        <f t="shared" si="1"/>
        <v>938.6386289088358</v>
      </c>
      <c r="L24" s="48"/>
    </row>
    <row r="25" spans="1:12" ht="12.75">
      <c r="A25" s="7" t="s">
        <v>45</v>
      </c>
      <c r="B25" s="8" t="s">
        <v>46</v>
      </c>
      <c r="D25" s="4">
        <f t="shared" si="2"/>
        <v>0</v>
      </c>
      <c r="E25" s="3">
        <f>3</f>
        <v>3</v>
      </c>
      <c r="F25" s="4">
        <f t="shared" si="3"/>
        <v>0.006741573033707865</v>
      </c>
      <c r="G25" s="3">
        <v>186</v>
      </c>
      <c r="H25" s="4">
        <f t="shared" si="4"/>
        <v>0.055176505487985764</v>
      </c>
      <c r="I25" s="10">
        <f t="shared" si="0"/>
        <v>0.020639359507231208</v>
      </c>
      <c r="J25" s="111"/>
      <c r="K25" s="112">
        <f t="shared" si="1"/>
        <v>1396.1434162146397</v>
      </c>
      <c r="L25" s="48"/>
    </row>
    <row r="26" spans="1:12" ht="12.75">
      <c r="A26" s="7" t="s">
        <v>47</v>
      </c>
      <c r="B26" s="8" t="s">
        <v>48</v>
      </c>
      <c r="C26" s="3">
        <f>1+3</f>
        <v>4</v>
      </c>
      <c r="D26" s="4">
        <f t="shared" si="2"/>
        <v>0.003000750187546887</v>
      </c>
      <c r="F26" s="4">
        <f t="shared" si="3"/>
        <v>0</v>
      </c>
      <c r="G26" s="3">
        <v>5</v>
      </c>
      <c r="H26" s="4">
        <f t="shared" si="4"/>
        <v>0.0014832393948383269</v>
      </c>
      <c r="I26" s="10">
        <f t="shared" si="0"/>
        <v>0.0014946631941284046</v>
      </c>
      <c r="J26" s="111"/>
      <c r="K26" s="112">
        <f t="shared" si="1"/>
        <v>101.10605308316845</v>
      </c>
      <c r="L26" s="48"/>
    </row>
    <row r="27" spans="1:12" ht="12.75">
      <c r="A27" s="7" t="s">
        <v>49</v>
      </c>
      <c r="B27" s="8" t="s">
        <v>50</v>
      </c>
      <c r="D27" s="4">
        <f t="shared" si="2"/>
        <v>0</v>
      </c>
      <c r="F27" s="4">
        <f t="shared" si="3"/>
        <v>0</v>
      </c>
      <c r="G27" s="3">
        <v>5</v>
      </c>
      <c r="H27" s="4">
        <f t="shared" si="4"/>
        <v>0.0014832393948383269</v>
      </c>
      <c r="I27" s="10">
        <f t="shared" si="0"/>
        <v>0.0004944131316127757</v>
      </c>
      <c r="J27" s="111"/>
      <c r="K27" s="112">
        <f t="shared" si="1"/>
        <v>33.44443117769208</v>
      </c>
      <c r="L27" s="48"/>
    </row>
    <row r="28" spans="1:12" ht="12.75">
      <c r="A28" s="7" t="s">
        <v>563</v>
      </c>
      <c r="B28" s="8" t="s">
        <v>564</v>
      </c>
      <c r="D28" s="4">
        <f t="shared" si="2"/>
        <v>0</v>
      </c>
      <c r="F28" s="4">
        <f t="shared" si="3"/>
        <v>0</v>
      </c>
      <c r="G28" s="3">
        <v>8</v>
      </c>
      <c r="H28" s="4">
        <f t="shared" si="4"/>
        <v>0.002373183031741323</v>
      </c>
      <c r="I28" s="10">
        <f t="shared" si="0"/>
        <v>0.0007910610105804411</v>
      </c>
      <c r="J28" s="111"/>
      <c r="K28" s="112">
        <f t="shared" si="1"/>
        <v>53.51108988430733</v>
      </c>
      <c r="L28" s="48"/>
    </row>
    <row r="29" spans="1:12" ht="12.75">
      <c r="A29" s="7" t="s">
        <v>554</v>
      </c>
      <c r="B29" s="8" t="s">
        <v>51</v>
      </c>
      <c r="C29" s="3">
        <f>45+29</f>
        <v>74</v>
      </c>
      <c r="D29" s="4">
        <f t="shared" si="2"/>
        <v>0.0555138784696174</v>
      </c>
      <c r="E29" s="3">
        <f>4</f>
        <v>4</v>
      </c>
      <c r="F29" s="4">
        <f t="shared" si="3"/>
        <v>0.008988764044943821</v>
      </c>
      <c r="G29" s="3">
        <v>119</v>
      </c>
      <c r="H29" s="4">
        <f t="shared" si="4"/>
        <v>0.03530109759715218</v>
      </c>
      <c r="I29" s="10">
        <f t="shared" si="0"/>
        <v>0.03326791337057113</v>
      </c>
      <c r="J29" s="111"/>
      <c r="K29" s="112">
        <f t="shared" si="1"/>
        <v>2250.39823581971</v>
      </c>
      <c r="L29" s="48"/>
    </row>
    <row r="30" spans="1:12" ht="12.75">
      <c r="A30" s="7" t="s">
        <v>52</v>
      </c>
      <c r="B30" s="8" t="s">
        <v>53</v>
      </c>
      <c r="C30" s="3">
        <f>5+5</f>
        <v>10</v>
      </c>
      <c r="D30" s="4">
        <f t="shared" si="2"/>
        <v>0.007501875468867217</v>
      </c>
      <c r="E30" s="3">
        <v>14</v>
      </c>
      <c r="F30" s="4">
        <f t="shared" si="3"/>
        <v>0.03146067415730337</v>
      </c>
      <c r="G30" s="3">
        <v>90</v>
      </c>
      <c r="H30" s="4">
        <f t="shared" si="4"/>
        <v>0.026698309107089886</v>
      </c>
      <c r="I30" s="10">
        <f t="shared" si="0"/>
        <v>0.021886952911086822</v>
      </c>
      <c r="J30" s="111"/>
      <c r="K30" s="112">
        <f t="shared" si="1"/>
        <v>1480.5365058497887</v>
      </c>
      <c r="L30" s="48"/>
    </row>
    <row r="31" spans="1:12" ht="12.75">
      <c r="A31" s="7" t="s">
        <v>54</v>
      </c>
      <c r="B31" s="8" t="s">
        <v>55</v>
      </c>
      <c r="C31" s="3">
        <f>18+19</f>
        <v>37</v>
      </c>
      <c r="D31" s="4">
        <f t="shared" si="2"/>
        <v>0.0277569392348087</v>
      </c>
      <c r="E31" s="3">
        <f>1+2+5+1+5+1+2+3</f>
        <v>20</v>
      </c>
      <c r="F31" s="4">
        <f t="shared" si="3"/>
        <v>0.0449438202247191</v>
      </c>
      <c r="G31" s="3">
        <v>193</v>
      </c>
      <c r="H31" s="4">
        <f t="shared" si="4"/>
        <v>0.057253040640759416</v>
      </c>
      <c r="I31" s="10">
        <f t="shared" si="0"/>
        <v>0.04331793336676241</v>
      </c>
      <c r="J31" s="111"/>
      <c r="K31" s="112">
        <f t="shared" si="1"/>
        <v>2930.2288887812</v>
      </c>
      <c r="L31" s="48"/>
    </row>
    <row r="32" spans="1:12" ht="12.75">
      <c r="A32" s="7" t="s">
        <v>58</v>
      </c>
      <c r="B32" s="8" t="s">
        <v>59</v>
      </c>
      <c r="D32" s="4">
        <f t="shared" si="2"/>
        <v>0</v>
      </c>
      <c r="E32" s="3">
        <v>3</v>
      </c>
      <c r="F32" s="4">
        <f t="shared" si="3"/>
        <v>0.006741573033707865</v>
      </c>
      <c r="H32" s="4">
        <f t="shared" si="4"/>
        <v>0</v>
      </c>
      <c r="I32" s="10">
        <f t="shared" si="0"/>
        <v>0.0022471910112359553</v>
      </c>
      <c r="J32" s="111"/>
      <c r="K32" s="112">
        <f t="shared" si="1"/>
        <v>152.0105764044944</v>
      </c>
      <c r="L32" s="48"/>
    </row>
    <row r="33" spans="1:12" ht="12.75">
      <c r="A33" s="7" t="s">
        <v>60</v>
      </c>
      <c r="B33" s="8" t="s">
        <v>61</v>
      </c>
      <c r="C33" s="3">
        <f>2+2</f>
        <v>4</v>
      </c>
      <c r="D33" s="4">
        <f t="shared" si="2"/>
        <v>0.003000750187546887</v>
      </c>
      <c r="E33" s="3">
        <f>12</f>
        <v>12</v>
      </c>
      <c r="F33" s="4">
        <f t="shared" si="3"/>
        <v>0.02696629213483146</v>
      </c>
      <c r="G33" s="3">
        <v>129</v>
      </c>
      <c r="H33" s="4">
        <f t="shared" si="4"/>
        <v>0.03826757638682884</v>
      </c>
      <c r="I33" s="10">
        <f t="shared" si="0"/>
        <v>0.022744872903069063</v>
      </c>
      <c r="J33" s="111"/>
      <c r="K33" s="112">
        <f t="shared" si="1"/>
        <v>1538.5702519079098</v>
      </c>
      <c r="L33" s="48"/>
    </row>
    <row r="34" spans="1:12" ht="12.75">
      <c r="A34" s="7" t="s">
        <v>62</v>
      </c>
      <c r="B34" s="8" t="s">
        <v>63</v>
      </c>
      <c r="C34" s="3">
        <f>2</f>
        <v>2</v>
      </c>
      <c r="D34" s="4">
        <f t="shared" si="2"/>
        <v>0.0015003750937734434</v>
      </c>
      <c r="F34" s="4">
        <f t="shared" si="3"/>
        <v>0</v>
      </c>
      <c r="G34" s="3">
        <v>24</v>
      </c>
      <c r="H34" s="4">
        <f t="shared" si="4"/>
        <v>0.0071195490952239695</v>
      </c>
      <c r="I34" s="10">
        <f t="shared" si="0"/>
        <v>0.0028733080629991374</v>
      </c>
      <c r="J34" s="111"/>
      <c r="K34" s="112">
        <f t="shared" si="1"/>
        <v>194.36408060566015</v>
      </c>
      <c r="L34" s="48"/>
    </row>
    <row r="35" spans="1:12" ht="12.75">
      <c r="A35" s="7" t="s">
        <v>64</v>
      </c>
      <c r="B35" s="8" t="s">
        <v>65</v>
      </c>
      <c r="C35" s="3">
        <f>237+739+1</f>
        <v>977</v>
      </c>
      <c r="D35" s="4">
        <f t="shared" si="2"/>
        <v>0.732933233308327</v>
      </c>
      <c r="E35" s="3">
        <f>69</f>
        <v>69</v>
      </c>
      <c r="F35" s="4">
        <f t="shared" si="3"/>
        <v>0.1550561797752809</v>
      </c>
      <c r="G35" s="3">
        <v>325</v>
      </c>
      <c r="H35" s="4">
        <f t="shared" si="4"/>
        <v>0.09641056066449125</v>
      </c>
      <c r="I35" s="10">
        <f t="shared" si="0"/>
        <v>0.3281333245826997</v>
      </c>
      <c r="J35" s="111"/>
      <c r="K35" s="112">
        <f t="shared" si="1"/>
        <v>22196.48243426596</v>
      </c>
      <c r="L35" s="48"/>
    </row>
    <row r="36" spans="1:12" ht="12.75">
      <c r="A36" s="7" t="s">
        <v>66</v>
      </c>
      <c r="B36" s="8" t="s">
        <v>67</v>
      </c>
      <c r="D36" s="4">
        <f t="shared" si="2"/>
        <v>0</v>
      </c>
      <c r="F36" s="4">
        <f t="shared" si="3"/>
        <v>0</v>
      </c>
      <c r="G36" s="3">
        <v>1</v>
      </c>
      <c r="H36" s="4">
        <f t="shared" si="4"/>
        <v>0.0002966478789676654</v>
      </c>
      <c r="I36" s="10">
        <f t="shared" si="0"/>
        <v>9.888262632255513E-05</v>
      </c>
      <c r="J36" s="111"/>
      <c r="K36" s="112">
        <f t="shared" si="1"/>
        <v>6.688886235538416</v>
      </c>
      <c r="L36" s="48"/>
    </row>
    <row r="37" spans="1:12" ht="12.75">
      <c r="A37" s="7" t="s">
        <v>68</v>
      </c>
      <c r="B37" s="8" t="s">
        <v>69</v>
      </c>
      <c r="D37" s="4">
        <f t="shared" si="2"/>
        <v>0</v>
      </c>
      <c r="F37" s="4">
        <f t="shared" si="3"/>
        <v>0</v>
      </c>
      <c r="G37" s="3">
        <v>6</v>
      </c>
      <c r="H37" s="4">
        <f t="shared" si="4"/>
        <v>0.0017798872738059924</v>
      </c>
      <c r="I37" s="10">
        <f t="shared" si="0"/>
        <v>0.0005932957579353308</v>
      </c>
      <c r="J37" s="111"/>
      <c r="K37" s="112">
        <f t="shared" si="1"/>
        <v>40.1333174132305</v>
      </c>
      <c r="L37" s="48"/>
    </row>
    <row r="38" spans="1:12" ht="12.75">
      <c r="A38" s="7" t="s">
        <v>70</v>
      </c>
      <c r="B38" s="8" t="s">
        <v>71</v>
      </c>
      <c r="C38" s="3">
        <f>13+12</f>
        <v>25</v>
      </c>
      <c r="D38" s="4">
        <f t="shared" si="2"/>
        <v>0.018754688672168042</v>
      </c>
      <c r="E38" s="3">
        <f>20</f>
        <v>20</v>
      </c>
      <c r="F38" s="4">
        <f t="shared" si="3"/>
        <v>0.0449438202247191</v>
      </c>
      <c r="G38" s="3">
        <v>213</v>
      </c>
      <c r="H38" s="4">
        <f t="shared" si="4"/>
        <v>0.06318599822011273</v>
      </c>
      <c r="I38" s="10">
        <f t="shared" si="0"/>
        <v>0.04229483570566662</v>
      </c>
      <c r="J38" s="111"/>
      <c r="K38" s="112">
        <f t="shared" si="1"/>
        <v>2861.0217477755386</v>
      </c>
      <c r="L38" s="48"/>
    </row>
    <row r="39" spans="1:12" ht="12.75">
      <c r="A39" s="7" t="s">
        <v>75</v>
      </c>
      <c r="B39" s="8" t="s">
        <v>76</v>
      </c>
      <c r="C39" s="3">
        <f>8+1+117+6</f>
        <v>132</v>
      </c>
      <c r="D39" s="4">
        <f t="shared" si="2"/>
        <v>0.09902475618904726</v>
      </c>
      <c r="E39" s="3">
        <f>3+3+1+1+1+1+6+1+2+2+1+53</f>
        <v>75</v>
      </c>
      <c r="F39" s="4">
        <f t="shared" si="3"/>
        <v>0.16853932584269662</v>
      </c>
      <c r="G39" s="3">
        <f>24+410</f>
        <v>434</v>
      </c>
      <c r="H39" s="4">
        <f t="shared" si="4"/>
        <v>0.1287451794719668</v>
      </c>
      <c r="I39" s="10">
        <f t="shared" si="0"/>
        <v>0.13210308716790356</v>
      </c>
      <c r="J39" s="111"/>
      <c r="K39" s="112">
        <f t="shared" si="1"/>
        <v>8936.074559216753</v>
      </c>
      <c r="L39" s="48"/>
    </row>
    <row r="40" spans="1:12" ht="12.75">
      <c r="A40" s="7" t="s">
        <v>77</v>
      </c>
      <c r="B40" s="8" t="s">
        <v>78</v>
      </c>
      <c r="C40" s="3">
        <f>2+2</f>
        <v>4</v>
      </c>
      <c r="D40" s="4">
        <f t="shared" si="2"/>
        <v>0.003000750187546887</v>
      </c>
      <c r="E40" s="3">
        <f>1+2</f>
        <v>3</v>
      </c>
      <c r="F40" s="4">
        <f t="shared" si="3"/>
        <v>0.006741573033707865</v>
      </c>
      <c r="G40" s="3">
        <v>68</v>
      </c>
      <c r="H40" s="4">
        <f t="shared" si="4"/>
        <v>0.020172055769801245</v>
      </c>
      <c r="I40" s="10">
        <f t="shared" si="0"/>
        <v>0.009971459663685333</v>
      </c>
      <c r="J40" s="111"/>
      <c r="K40" s="112">
        <f t="shared" si="1"/>
        <v>674.516462326583</v>
      </c>
      <c r="L40" s="48"/>
    </row>
    <row r="41" spans="1:12" ht="12.75">
      <c r="A41" s="7" t="s">
        <v>80</v>
      </c>
      <c r="B41" s="8" t="s">
        <v>81</v>
      </c>
      <c r="D41" s="4">
        <f t="shared" si="2"/>
        <v>0</v>
      </c>
      <c r="E41" s="3">
        <f>28</f>
        <v>28</v>
      </c>
      <c r="F41" s="4">
        <f t="shared" si="3"/>
        <v>0.06292134831460675</v>
      </c>
      <c r="G41" s="3">
        <v>62</v>
      </c>
      <c r="H41" s="4">
        <f t="shared" si="4"/>
        <v>0.018392168495995252</v>
      </c>
      <c r="I41" s="10">
        <f t="shared" si="0"/>
        <v>0.027104505603534</v>
      </c>
      <c r="J41" s="111"/>
      <c r="K41" s="112">
        <f t="shared" si="1"/>
        <v>1833.4763263786629</v>
      </c>
      <c r="L41" s="48"/>
    </row>
    <row r="42" spans="1:12" ht="13.5" thickBot="1">
      <c r="A42" s="14" t="s">
        <v>82</v>
      </c>
      <c r="C42" s="1">
        <f aca="true" t="shared" si="5" ref="C42:H42">SUM(C7:C41)</f>
        <v>1333</v>
      </c>
      <c r="D42" s="15">
        <f t="shared" si="5"/>
        <v>0.9999999999999999</v>
      </c>
      <c r="E42" s="1">
        <f t="shared" si="5"/>
        <v>445</v>
      </c>
      <c r="F42" s="15">
        <f t="shared" si="5"/>
        <v>0.9999999999999998</v>
      </c>
      <c r="G42" s="1">
        <f t="shared" si="5"/>
        <v>3371</v>
      </c>
      <c r="H42" s="15">
        <f t="shared" si="5"/>
        <v>0.9999999999999999</v>
      </c>
      <c r="I42" s="10">
        <f t="shared" si="0"/>
        <v>0.9999999999999999</v>
      </c>
      <c r="J42" s="113"/>
      <c r="K42" s="114">
        <f>'FY12 to FY11 Comparison'!K6:L6</f>
        <v>67644.7065</v>
      </c>
      <c r="L42" s="66"/>
    </row>
    <row r="43" ht="12.75">
      <c r="I43" s="10"/>
    </row>
    <row r="44" spans="2:11" ht="12.75">
      <c r="B44" s="7"/>
      <c r="C44" s="7"/>
      <c r="D44" s="7"/>
      <c r="E44" s="7"/>
      <c r="F44" s="7"/>
      <c r="G44" s="7"/>
      <c r="H44" s="7"/>
      <c r="I44" s="7"/>
      <c r="K44" s="76">
        <f>SUM(K6:K41)</f>
        <v>67644.7065</v>
      </c>
    </row>
    <row r="45" spans="2:9" ht="12.75">
      <c r="B45" s="7"/>
      <c r="C45" s="7"/>
      <c r="D45" s="7"/>
      <c r="E45" s="7"/>
      <c r="F45" s="7"/>
      <c r="G45" s="7"/>
      <c r="H45" s="7"/>
      <c r="I45" s="7"/>
    </row>
    <row r="46" spans="2:9" ht="12.75">
      <c r="B46" s="7"/>
      <c r="C46" s="7"/>
      <c r="D46" s="7"/>
      <c r="E46" s="7"/>
      <c r="F46" s="7"/>
      <c r="G46" s="7"/>
      <c r="H46" s="7"/>
      <c r="I46" s="7"/>
    </row>
    <row r="47" spans="2:9" ht="12.75">
      <c r="B47" s="7"/>
      <c r="C47" s="7"/>
      <c r="D47" s="7"/>
      <c r="E47" s="7"/>
      <c r="F47" s="7"/>
      <c r="G47" s="7"/>
      <c r="H47" s="7"/>
      <c r="I47" s="7"/>
    </row>
    <row r="48" spans="2:9" ht="12.75">
      <c r="B48" s="7"/>
      <c r="C48" s="7"/>
      <c r="D48" s="7"/>
      <c r="E48" s="7"/>
      <c r="F48" s="7"/>
      <c r="G48" s="7"/>
      <c r="H48" s="7"/>
      <c r="I48" s="7"/>
    </row>
    <row r="49" spans="2:9" ht="12.75">
      <c r="B49" s="7"/>
      <c r="C49" s="7"/>
      <c r="D49" s="7"/>
      <c r="E49" s="7"/>
      <c r="F49" s="7"/>
      <c r="G49" s="7"/>
      <c r="H49" s="7"/>
      <c r="I49" s="7"/>
    </row>
    <row r="50" spans="2:9" ht="12.75">
      <c r="B50" s="7"/>
      <c r="C50" s="7"/>
      <c r="D50" s="7"/>
      <c r="E50" s="7"/>
      <c r="F50" s="7"/>
      <c r="G50" s="7"/>
      <c r="H50" s="7"/>
      <c r="I50" s="7"/>
    </row>
    <row r="51" spans="2:9" ht="12.75">
      <c r="B51" s="7"/>
      <c r="C51" s="7"/>
      <c r="D51" s="7"/>
      <c r="E51" s="7"/>
      <c r="F51" s="7"/>
      <c r="G51" s="7"/>
      <c r="H51" s="7"/>
      <c r="I51" s="7"/>
    </row>
    <row r="52" spans="2:9" ht="12.75">
      <c r="B52" s="7"/>
      <c r="C52" s="7"/>
      <c r="D52" s="7"/>
      <c r="E52" s="7"/>
      <c r="F52" s="7"/>
      <c r="G52" s="7"/>
      <c r="H52" s="7"/>
      <c r="I52" s="7"/>
    </row>
    <row r="53" spans="2:9" ht="12.75">
      <c r="B53" s="7"/>
      <c r="C53" s="7"/>
      <c r="D53" s="7"/>
      <c r="E53" s="7"/>
      <c r="F53" s="7"/>
      <c r="G53" s="7"/>
      <c r="H53" s="7"/>
      <c r="I53" s="7"/>
    </row>
    <row r="54" spans="2:9" ht="12.75">
      <c r="B54" s="7"/>
      <c r="C54" s="7"/>
      <c r="D54" s="7"/>
      <c r="E54" s="7"/>
      <c r="F54" s="7"/>
      <c r="G54" s="7"/>
      <c r="H54" s="7"/>
      <c r="I54" s="7"/>
    </row>
    <row r="55" spans="2:9" ht="12.75">
      <c r="B55" s="7"/>
      <c r="C55" s="7"/>
      <c r="D55" s="7"/>
      <c r="E55" s="7"/>
      <c r="F55" s="7"/>
      <c r="G55" s="7"/>
      <c r="H55" s="7"/>
      <c r="I55" s="7"/>
    </row>
    <row r="56" spans="2:9" ht="12.75">
      <c r="B56" s="7"/>
      <c r="C56" s="7"/>
      <c r="D56" s="7"/>
      <c r="E56" s="7"/>
      <c r="F56" s="7"/>
      <c r="G56" s="7"/>
      <c r="H56" s="7"/>
      <c r="I56" s="7"/>
    </row>
    <row r="57" spans="2:9" ht="12.75">
      <c r="B57" s="7"/>
      <c r="C57" s="7"/>
      <c r="D57" s="7"/>
      <c r="E57" s="7"/>
      <c r="F57" s="7"/>
      <c r="G57" s="7"/>
      <c r="H57" s="7"/>
      <c r="I57" s="7"/>
    </row>
    <row r="58" spans="2:9" ht="12.75">
      <c r="B58" s="7"/>
      <c r="C58" s="7"/>
      <c r="D58" s="7"/>
      <c r="E58" s="7"/>
      <c r="F58" s="7"/>
      <c r="G58" s="7"/>
      <c r="H58" s="7"/>
      <c r="I58" s="7"/>
    </row>
    <row r="59" spans="2:9" ht="12.75">
      <c r="B59" s="7"/>
      <c r="C59" s="7"/>
      <c r="D59" s="7"/>
      <c r="E59" s="7"/>
      <c r="F59" s="7"/>
      <c r="G59" s="7"/>
      <c r="H59" s="7"/>
      <c r="I59" s="7"/>
    </row>
    <row r="60" spans="2:9" ht="12.75">
      <c r="B60" s="7"/>
      <c r="C60" s="7"/>
      <c r="D60" s="7"/>
      <c r="E60" s="7"/>
      <c r="F60" s="7"/>
      <c r="G60" s="7"/>
      <c r="H60" s="7"/>
      <c r="I60" s="7"/>
    </row>
    <row r="61" spans="2:9" ht="12.75">
      <c r="B61" s="7"/>
      <c r="C61" s="7"/>
      <c r="D61" s="7"/>
      <c r="E61" s="7"/>
      <c r="F61" s="7"/>
      <c r="G61" s="7"/>
      <c r="H61" s="7"/>
      <c r="I61" s="7"/>
    </row>
    <row r="62" spans="2:9" ht="12.75">
      <c r="B62" s="7"/>
      <c r="C62" s="7"/>
      <c r="D62" s="7"/>
      <c r="E62" s="7"/>
      <c r="F62" s="7"/>
      <c r="G62" s="7"/>
      <c r="H62" s="7"/>
      <c r="I62" s="7"/>
    </row>
    <row r="63" spans="2:9" ht="12.75">
      <c r="B63" s="7"/>
      <c r="C63" s="7"/>
      <c r="D63" s="7"/>
      <c r="E63" s="7"/>
      <c r="F63" s="7"/>
      <c r="G63" s="7"/>
      <c r="H63" s="7"/>
      <c r="I63" s="7"/>
    </row>
    <row r="64" spans="2:9" ht="12.75">
      <c r="B64" s="7"/>
      <c r="C64" s="7"/>
      <c r="D64" s="7"/>
      <c r="E64" s="7"/>
      <c r="F64" s="7"/>
      <c r="G64" s="7"/>
      <c r="H64" s="7"/>
      <c r="I64" s="7"/>
    </row>
    <row r="65" spans="2:9" ht="12.75">
      <c r="B65" s="7"/>
      <c r="C65" s="7"/>
      <c r="D65" s="7"/>
      <c r="E65" s="7"/>
      <c r="F65" s="7"/>
      <c r="G65" s="7"/>
      <c r="H65" s="7"/>
      <c r="I65" s="7"/>
    </row>
    <row r="66" spans="2:9" ht="12.75">
      <c r="B66" s="7"/>
      <c r="C66" s="7"/>
      <c r="D66" s="7"/>
      <c r="E66" s="7"/>
      <c r="F66" s="7"/>
      <c r="G66" s="7"/>
      <c r="H66" s="7"/>
      <c r="I66" s="7"/>
    </row>
    <row r="67" spans="2:9" ht="12.75">
      <c r="B67" s="7"/>
      <c r="C67" s="7"/>
      <c r="D67" s="7"/>
      <c r="E67" s="7"/>
      <c r="F67" s="7"/>
      <c r="G67" s="7"/>
      <c r="H67" s="7"/>
      <c r="I67" s="7"/>
    </row>
    <row r="68" spans="2:9" ht="12.75">
      <c r="B68" s="7"/>
      <c r="C68" s="7"/>
      <c r="D68" s="7"/>
      <c r="E68" s="7"/>
      <c r="F68" s="7"/>
      <c r="G68" s="7"/>
      <c r="H68" s="7"/>
      <c r="I68" s="7"/>
    </row>
    <row r="69" spans="2:9" ht="12.75">
      <c r="B69" s="7"/>
      <c r="C69" s="7"/>
      <c r="D69" s="7"/>
      <c r="E69" s="7"/>
      <c r="F69" s="7"/>
      <c r="G69" s="7"/>
      <c r="H69" s="7"/>
      <c r="I69" s="7"/>
    </row>
    <row r="70" spans="2:9" ht="12.75">
      <c r="B70" s="7"/>
      <c r="C70" s="7"/>
      <c r="D70" s="7"/>
      <c r="E70" s="7"/>
      <c r="F70" s="7"/>
      <c r="G70" s="7"/>
      <c r="H70" s="7"/>
      <c r="I70" s="7"/>
    </row>
    <row r="71" spans="2:9" ht="12.75">
      <c r="B71" s="7"/>
      <c r="C71" s="7"/>
      <c r="D71" s="7"/>
      <c r="E71" s="7"/>
      <c r="F71" s="7"/>
      <c r="G71" s="7"/>
      <c r="H71" s="7"/>
      <c r="I71" s="7"/>
    </row>
    <row r="72" spans="2:9" ht="12.75">
      <c r="B72" s="7"/>
      <c r="C72" s="7"/>
      <c r="D72" s="7"/>
      <c r="E72" s="7"/>
      <c r="F72" s="7"/>
      <c r="G72" s="7"/>
      <c r="H72" s="7"/>
      <c r="I72" s="7"/>
    </row>
    <row r="73" spans="2:9" ht="12.75">
      <c r="B73" s="7"/>
      <c r="C73" s="7"/>
      <c r="D73" s="7"/>
      <c r="E73" s="7"/>
      <c r="F73" s="7"/>
      <c r="G73" s="7"/>
      <c r="H73" s="7"/>
      <c r="I73" s="7"/>
    </row>
    <row r="74" spans="2:9" ht="12.75">
      <c r="B74" s="7"/>
      <c r="C74" s="7"/>
      <c r="D74" s="7"/>
      <c r="E74" s="7"/>
      <c r="F74" s="7"/>
      <c r="G74" s="7"/>
      <c r="H74" s="7"/>
      <c r="I74" s="7"/>
    </row>
    <row r="75" spans="2:9" ht="12.75">
      <c r="B75" s="7"/>
      <c r="C75" s="7"/>
      <c r="D75" s="7"/>
      <c r="E75" s="7"/>
      <c r="F75" s="7"/>
      <c r="G75" s="7"/>
      <c r="H75" s="7"/>
      <c r="I75" s="7"/>
    </row>
    <row r="76" spans="2:9" ht="12.75">
      <c r="B76" s="7"/>
      <c r="C76" s="7"/>
      <c r="D76" s="7"/>
      <c r="E76" s="7"/>
      <c r="F76" s="7"/>
      <c r="G76" s="7"/>
      <c r="H76" s="7"/>
      <c r="I76" s="7"/>
    </row>
    <row r="77" spans="2:9" ht="12.75">
      <c r="B77" s="7"/>
      <c r="C77" s="7"/>
      <c r="D77" s="7"/>
      <c r="E77" s="7"/>
      <c r="F77" s="7"/>
      <c r="G77" s="7"/>
      <c r="H77" s="7"/>
      <c r="I77" s="7"/>
    </row>
    <row r="78" spans="2:9" ht="12.75">
      <c r="B78" s="7"/>
      <c r="C78" s="7"/>
      <c r="D78" s="7"/>
      <c r="E78" s="7"/>
      <c r="F78" s="7"/>
      <c r="G78" s="7"/>
      <c r="H78" s="7"/>
      <c r="I78" s="7"/>
    </row>
    <row r="79" spans="2:9" ht="12.75">
      <c r="B79" s="7"/>
      <c r="C79" s="7"/>
      <c r="D79" s="7"/>
      <c r="E79" s="7"/>
      <c r="F79" s="7"/>
      <c r="G79" s="7"/>
      <c r="H79" s="7"/>
      <c r="I79" s="7"/>
    </row>
    <row r="80" spans="2:9" ht="12.75">
      <c r="B80" s="7"/>
      <c r="C80" s="7"/>
      <c r="D80" s="7"/>
      <c r="E80" s="7"/>
      <c r="F80" s="7"/>
      <c r="G80" s="7"/>
      <c r="H80" s="7"/>
      <c r="I80" s="7"/>
    </row>
    <row r="81" spans="2:9" ht="12.75">
      <c r="B81" s="7"/>
      <c r="C81" s="7"/>
      <c r="D81" s="7"/>
      <c r="E81" s="7"/>
      <c r="F81" s="7"/>
      <c r="G81" s="7"/>
      <c r="H81" s="7"/>
      <c r="I81" s="7"/>
    </row>
    <row r="82" spans="2:9" ht="12.75">
      <c r="B82" s="7"/>
      <c r="C82" s="7"/>
      <c r="D82" s="7"/>
      <c r="E82" s="7"/>
      <c r="F82" s="7"/>
      <c r="G82" s="7"/>
      <c r="H82" s="7"/>
      <c r="I82" s="7"/>
    </row>
    <row r="83" spans="2:9" ht="12.75">
      <c r="B83" s="7"/>
      <c r="C83" s="7"/>
      <c r="D83" s="7"/>
      <c r="E83" s="7"/>
      <c r="F83" s="7"/>
      <c r="G83" s="7"/>
      <c r="H83" s="7"/>
      <c r="I83" s="7"/>
    </row>
    <row r="84" spans="2:9" ht="12.75">
      <c r="B84" s="7"/>
      <c r="C84" s="7"/>
      <c r="D84" s="7"/>
      <c r="E84" s="7"/>
      <c r="F84" s="7"/>
      <c r="G84" s="7"/>
      <c r="H84" s="7"/>
      <c r="I84" s="7"/>
    </row>
    <row r="85" spans="2:9" ht="12.75">
      <c r="B85" s="7"/>
      <c r="C85" s="7"/>
      <c r="D85" s="7"/>
      <c r="E85" s="7"/>
      <c r="F85" s="7"/>
      <c r="G85" s="7"/>
      <c r="H85" s="7"/>
      <c r="I85" s="7"/>
    </row>
    <row r="86" spans="2:9" ht="12.75">
      <c r="B86" s="7"/>
      <c r="C86" s="7"/>
      <c r="D86" s="7"/>
      <c r="E86" s="7"/>
      <c r="F86" s="7"/>
      <c r="G86" s="7"/>
      <c r="H86" s="7"/>
      <c r="I86" s="7"/>
    </row>
    <row r="87" spans="2:9" ht="12.75">
      <c r="B87" s="7"/>
      <c r="C87" s="7"/>
      <c r="D87" s="7"/>
      <c r="E87" s="7"/>
      <c r="F87" s="7"/>
      <c r="G87" s="7"/>
      <c r="H87" s="7"/>
      <c r="I87" s="7"/>
    </row>
    <row r="88" spans="2:9" ht="12.75">
      <c r="B88" s="7"/>
      <c r="C88" s="7"/>
      <c r="D88" s="7"/>
      <c r="E88" s="7"/>
      <c r="F88" s="7"/>
      <c r="G88" s="7"/>
      <c r="H88" s="7"/>
      <c r="I88" s="7"/>
    </row>
    <row r="89" spans="2:9" ht="12.75">
      <c r="B89" s="7"/>
      <c r="C89" s="7"/>
      <c r="D89" s="7"/>
      <c r="E89" s="7"/>
      <c r="F89" s="7"/>
      <c r="G89" s="7"/>
      <c r="H89" s="7"/>
      <c r="I89" s="7"/>
    </row>
    <row r="90" spans="2:9" ht="12.75">
      <c r="B90" s="7"/>
      <c r="C90" s="7"/>
      <c r="D90" s="7"/>
      <c r="E90" s="7"/>
      <c r="F90" s="7"/>
      <c r="G90" s="7"/>
      <c r="H90" s="7"/>
      <c r="I90" s="7"/>
    </row>
    <row r="91" spans="2:9" ht="12.75">
      <c r="B91" s="7"/>
      <c r="C91" s="7"/>
      <c r="D91" s="7"/>
      <c r="E91" s="7"/>
      <c r="F91" s="7"/>
      <c r="G91" s="7"/>
      <c r="H91" s="7"/>
      <c r="I91" s="7"/>
    </row>
    <row r="92" spans="2:9" ht="12.75">
      <c r="B92" s="7"/>
      <c r="C92" s="7"/>
      <c r="D92" s="7"/>
      <c r="E92" s="7"/>
      <c r="F92" s="7"/>
      <c r="G92" s="7"/>
      <c r="H92" s="7"/>
      <c r="I92" s="7"/>
    </row>
    <row r="93" spans="2:9" ht="12.75">
      <c r="B93" s="7"/>
      <c r="C93" s="7"/>
      <c r="D93" s="7"/>
      <c r="E93" s="7"/>
      <c r="F93" s="7"/>
      <c r="G93" s="7"/>
      <c r="H93" s="7"/>
      <c r="I93" s="7"/>
    </row>
    <row r="94" spans="2:9" ht="12.75">
      <c r="B94" s="7"/>
      <c r="C94" s="7"/>
      <c r="D94" s="7"/>
      <c r="E94" s="7"/>
      <c r="F94" s="7"/>
      <c r="G94" s="7"/>
      <c r="H94" s="7"/>
      <c r="I94" s="7"/>
    </row>
    <row r="95" spans="2:9" ht="12.75">
      <c r="B95" s="7"/>
      <c r="C95" s="7"/>
      <c r="D95" s="7"/>
      <c r="E95" s="7"/>
      <c r="F95" s="7"/>
      <c r="G95" s="7"/>
      <c r="H95" s="7"/>
      <c r="I95" s="7"/>
    </row>
    <row r="96" spans="2:9" ht="12.75">
      <c r="B96" s="7"/>
      <c r="C96" s="7"/>
      <c r="D96" s="7"/>
      <c r="E96" s="7"/>
      <c r="F96" s="7"/>
      <c r="G96" s="7"/>
      <c r="H96" s="7"/>
      <c r="I96" s="7"/>
    </row>
    <row r="97" spans="2:9" ht="12.75">
      <c r="B97" s="7"/>
      <c r="C97" s="7"/>
      <c r="D97" s="7"/>
      <c r="E97" s="7"/>
      <c r="F97" s="7"/>
      <c r="G97" s="7"/>
      <c r="H97" s="7"/>
      <c r="I97" s="7"/>
    </row>
    <row r="98" spans="2:9" ht="12.75">
      <c r="B98" s="7"/>
      <c r="C98" s="7"/>
      <c r="D98" s="7"/>
      <c r="E98" s="7"/>
      <c r="F98" s="7"/>
      <c r="G98" s="7"/>
      <c r="H98" s="7"/>
      <c r="I98" s="7"/>
    </row>
    <row r="99" spans="2:9" ht="12.75">
      <c r="B99" s="7"/>
      <c r="C99" s="7"/>
      <c r="D99" s="7"/>
      <c r="E99" s="7"/>
      <c r="F99" s="7"/>
      <c r="G99" s="7"/>
      <c r="H99" s="7"/>
      <c r="I99" s="7"/>
    </row>
    <row r="100" spans="2:9" ht="12.75">
      <c r="B100" s="7"/>
      <c r="C100" s="7"/>
      <c r="D100" s="7"/>
      <c r="E100" s="7"/>
      <c r="F100" s="7"/>
      <c r="G100" s="7"/>
      <c r="H100" s="7"/>
      <c r="I100" s="7"/>
    </row>
    <row r="101" spans="2:9" ht="12.75">
      <c r="B101" s="7"/>
      <c r="C101" s="7"/>
      <c r="D101" s="7"/>
      <c r="E101" s="7"/>
      <c r="F101" s="7"/>
      <c r="G101" s="7"/>
      <c r="H101" s="7"/>
      <c r="I101" s="7"/>
    </row>
    <row r="102" spans="2:9" ht="12.75">
      <c r="B102" s="7"/>
      <c r="C102" s="7"/>
      <c r="D102" s="7"/>
      <c r="E102" s="7"/>
      <c r="F102" s="7"/>
      <c r="G102" s="7"/>
      <c r="H102" s="7"/>
      <c r="I102" s="7"/>
    </row>
    <row r="103" spans="2:9" ht="12.75">
      <c r="B103" s="7"/>
      <c r="C103" s="7"/>
      <c r="D103" s="7"/>
      <c r="E103" s="7"/>
      <c r="F103" s="7"/>
      <c r="G103" s="7"/>
      <c r="H103" s="7"/>
      <c r="I103" s="7"/>
    </row>
    <row r="104" spans="2:9" ht="12.75">
      <c r="B104" s="7"/>
      <c r="C104" s="7"/>
      <c r="D104" s="7"/>
      <c r="E104" s="7"/>
      <c r="F104" s="7"/>
      <c r="G104" s="7"/>
      <c r="H104" s="7"/>
      <c r="I104" s="7"/>
    </row>
    <row r="105" spans="2:9" ht="12.75">
      <c r="B105" s="7"/>
      <c r="C105" s="7"/>
      <c r="D105" s="7"/>
      <c r="E105" s="7"/>
      <c r="F105" s="7"/>
      <c r="G105" s="7"/>
      <c r="H105" s="7"/>
      <c r="I105" s="7"/>
    </row>
    <row r="106" spans="2:9" ht="12.75">
      <c r="B106" s="7"/>
      <c r="C106" s="7"/>
      <c r="D106" s="7"/>
      <c r="E106" s="7"/>
      <c r="F106" s="7"/>
      <c r="G106" s="7"/>
      <c r="H106" s="7"/>
      <c r="I106" s="7"/>
    </row>
    <row r="107" spans="2:9" ht="12.75">
      <c r="B107" s="7"/>
      <c r="C107" s="7"/>
      <c r="D107" s="7"/>
      <c r="E107" s="7"/>
      <c r="F107" s="7"/>
      <c r="G107" s="7"/>
      <c r="H107" s="7"/>
      <c r="I107" s="7"/>
    </row>
    <row r="108" spans="2:9" ht="12.75">
      <c r="B108" s="7"/>
      <c r="C108" s="7"/>
      <c r="D108" s="7"/>
      <c r="E108" s="7"/>
      <c r="F108" s="7"/>
      <c r="G108" s="7"/>
      <c r="H108" s="7"/>
      <c r="I108" s="7"/>
    </row>
    <row r="109" spans="2:9" ht="12.75">
      <c r="B109" s="7"/>
      <c r="C109" s="7"/>
      <c r="D109" s="7"/>
      <c r="E109" s="7"/>
      <c r="F109" s="7"/>
      <c r="G109" s="7"/>
      <c r="H109" s="7"/>
      <c r="I109" s="7"/>
    </row>
    <row r="110" spans="2:9" ht="12.75">
      <c r="B110" s="7"/>
      <c r="C110" s="7"/>
      <c r="D110" s="7"/>
      <c r="E110" s="7"/>
      <c r="F110" s="7"/>
      <c r="G110" s="7"/>
      <c r="H110" s="7"/>
      <c r="I110" s="7"/>
    </row>
    <row r="111" spans="2:9" ht="12.75">
      <c r="B111" s="7"/>
      <c r="C111" s="7"/>
      <c r="D111" s="7"/>
      <c r="E111" s="7"/>
      <c r="F111" s="7"/>
      <c r="G111" s="7"/>
      <c r="H111" s="7"/>
      <c r="I111" s="7"/>
    </row>
    <row r="112" spans="2:9" ht="12.75">
      <c r="B112" s="7"/>
      <c r="C112" s="7"/>
      <c r="D112" s="7"/>
      <c r="E112" s="7"/>
      <c r="F112" s="7"/>
      <c r="G112" s="7"/>
      <c r="H112" s="7"/>
      <c r="I112" s="7"/>
    </row>
    <row r="113" spans="2:9" ht="12.75">
      <c r="B113" s="7"/>
      <c r="C113" s="7"/>
      <c r="D113" s="7"/>
      <c r="E113" s="7"/>
      <c r="F113" s="7"/>
      <c r="G113" s="7"/>
      <c r="H113" s="7"/>
      <c r="I113" s="7"/>
    </row>
    <row r="114" spans="2:9" ht="12.75">
      <c r="B114" s="7"/>
      <c r="C114" s="7"/>
      <c r="D114" s="7"/>
      <c r="E114" s="7"/>
      <c r="F114" s="7"/>
      <c r="G114" s="7"/>
      <c r="H114" s="7"/>
      <c r="I114" s="7"/>
    </row>
    <row r="115" spans="2:9" ht="12.75">
      <c r="B115" s="7"/>
      <c r="C115" s="7"/>
      <c r="D115" s="7"/>
      <c r="E115" s="7"/>
      <c r="F115" s="7"/>
      <c r="G115" s="7"/>
      <c r="H115" s="7"/>
      <c r="I115" s="7"/>
    </row>
    <row r="116" spans="2:9" ht="12.75">
      <c r="B116" s="7"/>
      <c r="C116" s="7"/>
      <c r="D116" s="7"/>
      <c r="E116" s="7"/>
      <c r="F116" s="7"/>
      <c r="G116" s="7"/>
      <c r="H116" s="7"/>
      <c r="I116" s="7"/>
    </row>
    <row r="117" spans="2:9" ht="12.75">
      <c r="B117" s="7"/>
      <c r="C117" s="7"/>
      <c r="D117" s="7"/>
      <c r="E117" s="7"/>
      <c r="F117" s="7"/>
      <c r="G117" s="7"/>
      <c r="H117" s="7"/>
      <c r="I117" s="7"/>
    </row>
    <row r="118" spans="2:9" ht="12.75">
      <c r="B118" s="7"/>
      <c r="C118" s="7"/>
      <c r="D118" s="7"/>
      <c r="E118" s="7"/>
      <c r="F118" s="7"/>
      <c r="G118" s="7"/>
      <c r="H118" s="7"/>
      <c r="I118" s="7"/>
    </row>
    <row r="119" spans="2:9" ht="12" customHeight="1">
      <c r="B119" s="7"/>
      <c r="C119" s="7"/>
      <c r="D119" s="7"/>
      <c r="E119" s="7"/>
      <c r="F119" s="7"/>
      <c r="G119" s="7"/>
      <c r="H119" s="7"/>
      <c r="I119" s="7"/>
    </row>
    <row r="120" spans="2:9" ht="12" customHeight="1">
      <c r="B120" s="7"/>
      <c r="C120" s="7"/>
      <c r="D120" s="7"/>
      <c r="E120" s="7"/>
      <c r="F120" s="7"/>
      <c r="G120" s="7"/>
      <c r="H120" s="7"/>
      <c r="I120" s="7"/>
    </row>
    <row r="121" spans="2:9" ht="12" customHeight="1">
      <c r="B121" s="7"/>
      <c r="C121" s="7"/>
      <c r="D121" s="7"/>
      <c r="E121" s="7"/>
      <c r="F121" s="7"/>
      <c r="G121" s="7"/>
      <c r="H121" s="7"/>
      <c r="I121" s="7"/>
    </row>
    <row r="122" spans="2:9" ht="12.75">
      <c r="B122" s="7"/>
      <c r="C122" s="7"/>
      <c r="D122" s="7"/>
      <c r="E122" s="7"/>
      <c r="F122" s="7"/>
      <c r="G122" s="7"/>
      <c r="H122" s="7"/>
      <c r="I122" s="7"/>
    </row>
    <row r="123" spans="2:9" ht="12.75">
      <c r="B123" s="7"/>
      <c r="C123" s="7"/>
      <c r="D123" s="7"/>
      <c r="E123" s="7"/>
      <c r="F123" s="7"/>
      <c r="G123" s="7"/>
      <c r="H123" s="7"/>
      <c r="I123" s="7"/>
    </row>
    <row r="124" spans="2:9" ht="12.75">
      <c r="B124" s="7"/>
      <c r="C124" s="7"/>
      <c r="D124" s="7"/>
      <c r="E124" s="7"/>
      <c r="F124" s="7"/>
      <c r="G124" s="7"/>
      <c r="H124" s="7"/>
      <c r="I124" s="7"/>
    </row>
    <row r="125" spans="2:9" ht="12.75">
      <c r="B125" s="7"/>
      <c r="C125" s="7"/>
      <c r="D125" s="7"/>
      <c r="E125" s="7"/>
      <c r="F125" s="7"/>
      <c r="G125" s="7"/>
      <c r="H125" s="7"/>
      <c r="I125" s="7"/>
    </row>
    <row r="126" spans="2:9" ht="12.75">
      <c r="B126" s="7"/>
      <c r="C126" s="7"/>
      <c r="D126" s="7"/>
      <c r="E126" s="7"/>
      <c r="F126" s="7"/>
      <c r="G126" s="7"/>
      <c r="H126" s="7"/>
      <c r="I126" s="7"/>
    </row>
    <row r="127" spans="2:9" ht="12" customHeight="1">
      <c r="B127" s="7"/>
      <c r="C127" s="7"/>
      <c r="D127" s="7"/>
      <c r="E127" s="7"/>
      <c r="F127" s="7"/>
      <c r="G127" s="7"/>
      <c r="H127" s="7"/>
      <c r="I127" s="7"/>
    </row>
    <row r="128" spans="2:9" ht="12.75">
      <c r="B128" s="7"/>
      <c r="C128" s="7"/>
      <c r="D128" s="7"/>
      <c r="E128" s="7"/>
      <c r="F128" s="7"/>
      <c r="G128" s="7"/>
      <c r="H128" s="7"/>
      <c r="I128" s="7"/>
    </row>
    <row r="129" spans="2:9" ht="12.75">
      <c r="B129" s="7"/>
      <c r="C129" s="7"/>
      <c r="D129" s="7"/>
      <c r="E129" s="7"/>
      <c r="F129" s="7"/>
      <c r="G129" s="7"/>
      <c r="H129" s="7"/>
      <c r="I129" s="7"/>
    </row>
    <row r="130" spans="2:9" ht="12.75">
      <c r="B130" s="7"/>
      <c r="C130" s="7"/>
      <c r="D130" s="7"/>
      <c r="E130" s="7"/>
      <c r="F130" s="7"/>
      <c r="G130" s="7"/>
      <c r="H130" s="7"/>
      <c r="I130" s="7"/>
    </row>
    <row r="131" spans="2:9" ht="12.75">
      <c r="B131" s="7"/>
      <c r="C131" s="7"/>
      <c r="D131" s="7"/>
      <c r="E131" s="7"/>
      <c r="F131" s="7"/>
      <c r="G131" s="7"/>
      <c r="H131" s="7"/>
      <c r="I131" s="7"/>
    </row>
    <row r="132" spans="2:9" ht="12.75">
      <c r="B132" s="7"/>
      <c r="C132" s="7"/>
      <c r="D132" s="7"/>
      <c r="E132" s="7"/>
      <c r="F132" s="7"/>
      <c r="G132" s="7"/>
      <c r="H132" s="7"/>
      <c r="I132" s="7"/>
    </row>
    <row r="133" spans="2:9" ht="12.75">
      <c r="B133" s="7"/>
      <c r="C133" s="7"/>
      <c r="D133" s="7"/>
      <c r="E133" s="7"/>
      <c r="F133" s="7"/>
      <c r="G133" s="7"/>
      <c r="H133" s="7"/>
      <c r="I133" s="7"/>
    </row>
    <row r="134" spans="2:9" ht="12.75">
      <c r="B134" s="7"/>
      <c r="C134" s="7"/>
      <c r="D134" s="7"/>
      <c r="E134" s="7"/>
      <c r="F134" s="7"/>
      <c r="G134" s="7"/>
      <c r="H134" s="7"/>
      <c r="I134" s="7"/>
    </row>
    <row r="135" spans="2:9" ht="12.75">
      <c r="B135" s="7"/>
      <c r="C135" s="7"/>
      <c r="D135" s="7"/>
      <c r="E135" s="7"/>
      <c r="F135" s="7"/>
      <c r="G135" s="7"/>
      <c r="H135" s="7"/>
      <c r="I135" s="7"/>
    </row>
    <row r="136" spans="2:9" ht="12.75">
      <c r="B136" s="7"/>
      <c r="C136" s="7"/>
      <c r="D136" s="7"/>
      <c r="E136" s="7"/>
      <c r="F136" s="7"/>
      <c r="G136" s="7"/>
      <c r="H136" s="7"/>
      <c r="I136" s="7"/>
    </row>
    <row r="137" spans="2:9" ht="12.75">
      <c r="B137" s="7"/>
      <c r="C137" s="7"/>
      <c r="D137" s="7"/>
      <c r="E137" s="7"/>
      <c r="F137" s="7"/>
      <c r="G137" s="7"/>
      <c r="H137" s="7"/>
      <c r="I137" s="7"/>
    </row>
    <row r="138" spans="2:9" ht="12.75">
      <c r="B138" s="7"/>
      <c r="C138" s="7"/>
      <c r="D138" s="7"/>
      <c r="E138" s="7"/>
      <c r="F138" s="7"/>
      <c r="G138" s="7"/>
      <c r="H138" s="7"/>
      <c r="I138" s="7"/>
    </row>
    <row r="139" spans="2:9" ht="12.75">
      <c r="B139" s="7"/>
      <c r="C139" s="7"/>
      <c r="D139" s="7"/>
      <c r="E139" s="7"/>
      <c r="F139" s="7"/>
      <c r="G139" s="7"/>
      <c r="H139" s="7"/>
      <c r="I139" s="7"/>
    </row>
    <row r="140" spans="2:9" ht="12.75">
      <c r="B140" s="7"/>
      <c r="C140" s="7"/>
      <c r="D140" s="7"/>
      <c r="E140" s="7"/>
      <c r="F140" s="7"/>
      <c r="G140" s="7"/>
      <c r="H140" s="7"/>
      <c r="I140" s="7"/>
    </row>
    <row r="141" spans="2:9" ht="12.75">
      <c r="B141" s="7"/>
      <c r="C141" s="7"/>
      <c r="D141" s="7"/>
      <c r="E141" s="7"/>
      <c r="F141" s="7"/>
      <c r="G141" s="7"/>
      <c r="H141" s="7"/>
      <c r="I141" s="7"/>
    </row>
    <row r="142" spans="2:9" ht="12.75">
      <c r="B142" s="7"/>
      <c r="C142" s="7"/>
      <c r="D142" s="7"/>
      <c r="E142" s="7"/>
      <c r="F142" s="7"/>
      <c r="G142" s="7"/>
      <c r="H142" s="7"/>
      <c r="I142" s="7"/>
    </row>
    <row r="143" spans="2:9" ht="12.75">
      <c r="B143" s="7"/>
      <c r="C143" s="7"/>
      <c r="D143" s="7"/>
      <c r="E143" s="7"/>
      <c r="F143" s="7"/>
      <c r="G143" s="7"/>
      <c r="H143" s="7"/>
      <c r="I143" s="7"/>
    </row>
    <row r="144" spans="2:9" ht="12.75">
      <c r="B144" s="7"/>
      <c r="C144" s="7"/>
      <c r="D144" s="7"/>
      <c r="E144" s="7"/>
      <c r="F144" s="7"/>
      <c r="G144" s="7"/>
      <c r="H144" s="7"/>
      <c r="I144" s="7"/>
    </row>
    <row r="145" spans="2:9" ht="12.75">
      <c r="B145" s="7"/>
      <c r="C145" s="7"/>
      <c r="D145" s="7"/>
      <c r="E145" s="7"/>
      <c r="F145" s="7"/>
      <c r="G145" s="7"/>
      <c r="H145" s="7"/>
      <c r="I145" s="7"/>
    </row>
    <row r="146" spans="2:9" ht="12.75">
      <c r="B146" s="7"/>
      <c r="C146" s="7"/>
      <c r="D146" s="7"/>
      <c r="E146" s="7"/>
      <c r="F146" s="7"/>
      <c r="G146" s="7"/>
      <c r="H146" s="7"/>
      <c r="I146" s="7"/>
    </row>
    <row r="147" spans="2:9" ht="12.75">
      <c r="B147" s="7"/>
      <c r="C147" s="7"/>
      <c r="D147" s="7"/>
      <c r="E147" s="7"/>
      <c r="F147" s="7"/>
      <c r="G147" s="7"/>
      <c r="H147" s="7"/>
      <c r="I147" s="7"/>
    </row>
    <row r="148" spans="2:9" ht="12.75">
      <c r="B148" s="7"/>
      <c r="C148" s="7"/>
      <c r="D148" s="7"/>
      <c r="E148" s="7"/>
      <c r="F148" s="7"/>
      <c r="G148" s="7"/>
      <c r="H148" s="7"/>
      <c r="I148" s="7"/>
    </row>
    <row r="149" spans="2:9" ht="12.75">
      <c r="B149" s="7"/>
      <c r="C149" s="7"/>
      <c r="D149" s="7"/>
      <c r="E149" s="7"/>
      <c r="F149" s="7"/>
      <c r="G149" s="7"/>
      <c r="H149" s="7"/>
      <c r="I149" s="7"/>
    </row>
    <row r="150" spans="2:9" ht="12.75">
      <c r="B150" s="7"/>
      <c r="C150" s="7"/>
      <c r="D150" s="7"/>
      <c r="E150" s="7"/>
      <c r="F150" s="7"/>
      <c r="G150" s="7"/>
      <c r="H150" s="7"/>
      <c r="I150" s="7"/>
    </row>
    <row r="151" spans="2:9" ht="12.75">
      <c r="B151" s="7"/>
      <c r="C151" s="7"/>
      <c r="D151" s="7"/>
      <c r="E151" s="7"/>
      <c r="F151" s="7"/>
      <c r="G151" s="7"/>
      <c r="H151" s="7"/>
      <c r="I151" s="7"/>
    </row>
    <row r="152" spans="2:9" ht="12.75">
      <c r="B152" s="7"/>
      <c r="C152" s="7"/>
      <c r="D152" s="7"/>
      <c r="E152" s="7"/>
      <c r="F152" s="7"/>
      <c r="G152" s="7"/>
      <c r="H152" s="7"/>
      <c r="I152" s="7"/>
    </row>
    <row r="153" spans="2:9" ht="12.75">
      <c r="B153" s="7"/>
      <c r="C153" s="7"/>
      <c r="D153" s="7"/>
      <c r="E153" s="7"/>
      <c r="F153" s="7"/>
      <c r="G153" s="7"/>
      <c r="H153" s="7"/>
      <c r="I153" s="7"/>
    </row>
    <row r="154" spans="2:9" ht="12.75">
      <c r="B154" s="7"/>
      <c r="C154" s="7"/>
      <c r="D154" s="7"/>
      <c r="E154" s="7"/>
      <c r="F154" s="7"/>
      <c r="G154" s="7"/>
      <c r="H154" s="7"/>
      <c r="I154" s="7"/>
    </row>
    <row r="155" spans="2:9" ht="12" customHeight="1">
      <c r="B155" s="7"/>
      <c r="C155" s="7"/>
      <c r="D155" s="7"/>
      <c r="E155" s="7"/>
      <c r="F155" s="7"/>
      <c r="G155" s="7"/>
      <c r="H155" s="7"/>
      <c r="I155" s="7"/>
    </row>
    <row r="156" spans="2:9" ht="12.75">
      <c r="B156" s="7"/>
      <c r="C156" s="7"/>
      <c r="D156" s="7"/>
      <c r="E156" s="7"/>
      <c r="F156" s="7"/>
      <c r="G156" s="7"/>
      <c r="H156" s="7"/>
      <c r="I156" s="7"/>
    </row>
    <row r="157" spans="2:9" ht="12.75">
      <c r="B157" s="7"/>
      <c r="C157" s="7"/>
      <c r="D157" s="7"/>
      <c r="E157" s="7"/>
      <c r="F157" s="7"/>
      <c r="G157" s="7"/>
      <c r="H157" s="7"/>
      <c r="I157" s="7"/>
    </row>
    <row r="158" spans="2:9" ht="12.75">
      <c r="B158" s="7"/>
      <c r="C158" s="7"/>
      <c r="D158" s="7"/>
      <c r="E158" s="7"/>
      <c r="F158" s="7"/>
      <c r="G158" s="7"/>
      <c r="H158" s="7"/>
      <c r="I158" s="7"/>
    </row>
    <row r="159" spans="2:9" ht="12.75">
      <c r="B159" s="7"/>
      <c r="C159" s="7"/>
      <c r="D159" s="7"/>
      <c r="E159" s="7"/>
      <c r="F159" s="7"/>
      <c r="G159" s="7"/>
      <c r="H159" s="7"/>
      <c r="I159" s="7"/>
    </row>
    <row r="160" spans="2:9" ht="12.75">
      <c r="B160" s="7"/>
      <c r="C160" s="7"/>
      <c r="D160" s="7"/>
      <c r="E160" s="7"/>
      <c r="F160" s="7"/>
      <c r="G160" s="7"/>
      <c r="H160" s="7"/>
      <c r="I160" s="7"/>
    </row>
    <row r="161" spans="2:9" ht="12.75">
      <c r="B161" s="7"/>
      <c r="C161" s="7"/>
      <c r="D161" s="7"/>
      <c r="E161" s="7"/>
      <c r="F161" s="7"/>
      <c r="G161" s="7"/>
      <c r="H161" s="7"/>
      <c r="I161" s="7"/>
    </row>
    <row r="162" spans="2:9" ht="12.75">
      <c r="B162" s="7"/>
      <c r="C162" s="7"/>
      <c r="D162" s="7"/>
      <c r="E162" s="7"/>
      <c r="F162" s="7"/>
      <c r="G162" s="7"/>
      <c r="H162" s="7"/>
      <c r="I162" s="7"/>
    </row>
    <row r="163" spans="2:9" ht="12.75">
      <c r="B163" s="7"/>
      <c r="C163" s="7"/>
      <c r="D163" s="7"/>
      <c r="E163" s="7"/>
      <c r="F163" s="7"/>
      <c r="G163" s="7"/>
      <c r="H163" s="7"/>
      <c r="I163" s="7"/>
    </row>
    <row r="164" spans="2:9" ht="12.75">
      <c r="B164" s="7"/>
      <c r="C164" s="7"/>
      <c r="D164" s="7"/>
      <c r="E164" s="7"/>
      <c r="F164" s="7"/>
      <c r="G164" s="7"/>
      <c r="H164" s="7"/>
      <c r="I164" s="7"/>
    </row>
    <row r="165" spans="2:9" ht="12.75">
      <c r="B165" s="7"/>
      <c r="C165" s="7"/>
      <c r="D165" s="7"/>
      <c r="E165" s="7"/>
      <c r="F165" s="7"/>
      <c r="G165" s="7"/>
      <c r="H165" s="7"/>
      <c r="I165" s="7"/>
    </row>
    <row r="166" spans="2:9" ht="12.75">
      <c r="B166" s="7"/>
      <c r="C166" s="7"/>
      <c r="D166" s="7"/>
      <c r="E166" s="7"/>
      <c r="F166" s="7"/>
      <c r="G166" s="7"/>
      <c r="H166" s="7"/>
      <c r="I166" s="7"/>
    </row>
    <row r="167" spans="2:9" ht="12.75">
      <c r="B167" s="7"/>
      <c r="C167" s="7"/>
      <c r="D167" s="7"/>
      <c r="E167" s="7"/>
      <c r="F167" s="7"/>
      <c r="G167" s="7"/>
      <c r="H167" s="7"/>
      <c r="I167" s="7"/>
    </row>
    <row r="168" spans="2:9" ht="12.75">
      <c r="B168" s="7"/>
      <c r="C168" s="7"/>
      <c r="D168" s="7"/>
      <c r="E168" s="7"/>
      <c r="F168" s="7"/>
      <c r="G168" s="7"/>
      <c r="H168" s="7"/>
      <c r="I168" s="7"/>
    </row>
    <row r="169" spans="2:9" ht="12.75">
      <c r="B169" s="7"/>
      <c r="C169" s="7"/>
      <c r="D169" s="7"/>
      <c r="E169" s="7"/>
      <c r="F169" s="7"/>
      <c r="G169" s="7"/>
      <c r="H169" s="7"/>
      <c r="I169" s="7"/>
    </row>
    <row r="170" spans="2:9" ht="12.75">
      <c r="B170" s="7"/>
      <c r="C170" s="7"/>
      <c r="D170" s="7"/>
      <c r="E170" s="7"/>
      <c r="F170" s="7"/>
      <c r="G170" s="7"/>
      <c r="H170" s="7"/>
      <c r="I170" s="7"/>
    </row>
    <row r="171" spans="2:9" ht="12.75">
      <c r="B171" s="7"/>
      <c r="C171" s="7"/>
      <c r="D171" s="7"/>
      <c r="E171" s="7"/>
      <c r="F171" s="7"/>
      <c r="G171" s="7"/>
      <c r="H171" s="7"/>
      <c r="I171" s="7"/>
    </row>
    <row r="172" spans="2:9" ht="12.75">
      <c r="B172" s="7"/>
      <c r="C172" s="7"/>
      <c r="D172" s="7"/>
      <c r="E172" s="7"/>
      <c r="F172" s="7"/>
      <c r="G172" s="7"/>
      <c r="H172" s="7"/>
      <c r="I172" s="7"/>
    </row>
    <row r="173" spans="2:9" ht="12.75">
      <c r="B173" s="7"/>
      <c r="C173" s="7"/>
      <c r="D173" s="7"/>
      <c r="E173" s="7"/>
      <c r="F173" s="7"/>
      <c r="G173" s="7"/>
      <c r="H173" s="7"/>
      <c r="I173" s="7"/>
    </row>
    <row r="174" spans="2:9" ht="12.75">
      <c r="B174" s="7"/>
      <c r="C174" s="7"/>
      <c r="D174" s="7"/>
      <c r="E174" s="7"/>
      <c r="F174" s="7"/>
      <c r="G174" s="7"/>
      <c r="H174" s="7"/>
      <c r="I174" s="7"/>
    </row>
    <row r="175" spans="2:9" ht="12.75">
      <c r="B175" s="7"/>
      <c r="C175" s="7"/>
      <c r="D175" s="7"/>
      <c r="E175" s="7"/>
      <c r="F175" s="7"/>
      <c r="G175" s="7"/>
      <c r="H175" s="7"/>
      <c r="I175" s="7"/>
    </row>
    <row r="176" spans="2:9" ht="12.75">
      <c r="B176" s="7"/>
      <c r="C176" s="7"/>
      <c r="D176" s="7"/>
      <c r="E176" s="7"/>
      <c r="F176" s="7"/>
      <c r="G176" s="7"/>
      <c r="H176" s="7"/>
      <c r="I176" s="7"/>
    </row>
    <row r="177" spans="2:9" ht="12.75">
      <c r="B177" s="7"/>
      <c r="C177" s="7"/>
      <c r="D177" s="7"/>
      <c r="E177" s="7"/>
      <c r="F177" s="7"/>
      <c r="G177" s="7"/>
      <c r="H177" s="7"/>
      <c r="I177" s="7"/>
    </row>
    <row r="178" spans="2:9" ht="12.75">
      <c r="B178" s="7"/>
      <c r="C178" s="7"/>
      <c r="D178" s="7"/>
      <c r="E178" s="7"/>
      <c r="F178" s="7"/>
      <c r="G178" s="7"/>
      <c r="H178" s="7"/>
      <c r="I178" s="7"/>
    </row>
    <row r="179" spans="2:9" ht="12.75">
      <c r="B179" s="7"/>
      <c r="C179" s="7"/>
      <c r="D179" s="7"/>
      <c r="E179" s="7"/>
      <c r="F179" s="7"/>
      <c r="G179" s="7"/>
      <c r="H179" s="7"/>
      <c r="I179" s="7"/>
    </row>
    <row r="180" spans="2:9" ht="12.75">
      <c r="B180" s="7"/>
      <c r="C180" s="7"/>
      <c r="D180" s="7"/>
      <c r="E180" s="7"/>
      <c r="F180" s="7"/>
      <c r="G180" s="7"/>
      <c r="H180" s="7"/>
      <c r="I180" s="7"/>
    </row>
    <row r="181" spans="2:9" ht="12.75">
      <c r="B181" s="7"/>
      <c r="C181" s="7"/>
      <c r="D181" s="7"/>
      <c r="E181" s="7"/>
      <c r="F181" s="7"/>
      <c r="G181" s="7"/>
      <c r="H181" s="7"/>
      <c r="I181" s="7"/>
    </row>
    <row r="182" spans="2:9" ht="12.75">
      <c r="B182" s="7"/>
      <c r="C182" s="7"/>
      <c r="D182" s="7"/>
      <c r="E182" s="7"/>
      <c r="F182" s="7"/>
      <c r="G182" s="7"/>
      <c r="H182" s="7"/>
      <c r="I182" s="7"/>
    </row>
    <row r="183" spans="2:9" ht="12.75">
      <c r="B183" s="7"/>
      <c r="C183" s="7"/>
      <c r="D183" s="7"/>
      <c r="E183" s="7"/>
      <c r="F183" s="7"/>
      <c r="G183" s="7"/>
      <c r="H183" s="7"/>
      <c r="I183" s="7"/>
    </row>
    <row r="184" spans="2:9" ht="12.75">
      <c r="B184" s="7"/>
      <c r="C184" s="7"/>
      <c r="D184" s="7"/>
      <c r="E184" s="7"/>
      <c r="F184" s="7"/>
      <c r="G184" s="7"/>
      <c r="H184" s="7"/>
      <c r="I184" s="7"/>
    </row>
    <row r="185" spans="2:9" ht="12.75">
      <c r="B185" s="7"/>
      <c r="C185" s="7"/>
      <c r="D185" s="7"/>
      <c r="E185" s="7"/>
      <c r="F185" s="7"/>
      <c r="G185" s="7"/>
      <c r="H185" s="7"/>
      <c r="I185" s="7"/>
    </row>
    <row r="186" spans="2:9" ht="12.75">
      <c r="B186" s="7"/>
      <c r="C186" s="7"/>
      <c r="D186" s="7"/>
      <c r="E186" s="7"/>
      <c r="F186" s="7"/>
      <c r="G186" s="7"/>
      <c r="H186" s="7"/>
      <c r="I186" s="7"/>
    </row>
    <row r="187" spans="2:9" ht="12.75">
      <c r="B187" s="7"/>
      <c r="C187" s="7"/>
      <c r="D187" s="7"/>
      <c r="E187" s="7"/>
      <c r="F187" s="7"/>
      <c r="G187" s="7"/>
      <c r="H187" s="7"/>
      <c r="I187" s="7"/>
    </row>
    <row r="188" spans="2:9" ht="12.75">
      <c r="B188" s="7"/>
      <c r="C188" s="7"/>
      <c r="D188" s="7"/>
      <c r="E188" s="7"/>
      <c r="F188" s="7"/>
      <c r="G188" s="7"/>
      <c r="H188" s="7"/>
      <c r="I188" s="7"/>
    </row>
    <row r="189" spans="2:9" ht="12.75">
      <c r="B189" s="7"/>
      <c r="C189" s="7"/>
      <c r="D189" s="7"/>
      <c r="E189" s="7"/>
      <c r="F189" s="7"/>
      <c r="G189" s="7"/>
      <c r="H189" s="7"/>
      <c r="I189" s="7"/>
    </row>
    <row r="190" spans="2:9" ht="12.75">
      <c r="B190" s="7"/>
      <c r="C190" s="7"/>
      <c r="D190" s="7"/>
      <c r="E190" s="7"/>
      <c r="F190" s="7"/>
      <c r="G190" s="7"/>
      <c r="H190" s="7"/>
      <c r="I190" s="7"/>
    </row>
    <row r="191" spans="2:9" ht="12.75">
      <c r="B191" s="7"/>
      <c r="C191" s="7"/>
      <c r="D191" s="7"/>
      <c r="E191" s="7"/>
      <c r="F191" s="7"/>
      <c r="G191" s="7"/>
      <c r="H191" s="7"/>
      <c r="I191" s="7"/>
    </row>
    <row r="192" spans="2:9" ht="12.75">
      <c r="B192" s="7"/>
      <c r="C192" s="7"/>
      <c r="D192" s="7"/>
      <c r="E192" s="7"/>
      <c r="F192" s="7"/>
      <c r="G192" s="7"/>
      <c r="H192" s="7"/>
      <c r="I192" s="7"/>
    </row>
    <row r="193" spans="2:9" ht="12.75">
      <c r="B193" s="7"/>
      <c r="C193" s="7"/>
      <c r="D193" s="7"/>
      <c r="E193" s="7"/>
      <c r="F193" s="7"/>
      <c r="G193" s="7"/>
      <c r="H193" s="7"/>
      <c r="I193" s="7"/>
    </row>
    <row r="194" spans="2:9" ht="12.75">
      <c r="B194" s="7"/>
      <c r="C194" s="7"/>
      <c r="D194" s="7"/>
      <c r="E194" s="7"/>
      <c r="F194" s="7"/>
      <c r="G194" s="7"/>
      <c r="H194" s="7"/>
      <c r="I194" s="7"/>
    </row>
    <row r="195" spans="2:9" ht="12.75">
      <c r="B195" s="7"/>
      <c r="C195" s="7"/>
      <c r="D195" s="7"/>
      <c r="E195" s="7"/>
      <c r="F195" s="7"/>
      <c r="G195" s="7"/>
      <c r="H195" s="7"/>
      <c r="I195" s="7"/>
    </row>
    <row r="196" spans="2:9" ht="12.75">
      <c r="B196" s="7"/>
      <c r="C196" s="7"/>
      <c r="D196" s="7"/>
      <c r="E196" s="7"/>
      <c r="F196" s="7"/>
      <c r="G196" s="7"/>
      <c r="H196" s="7"/>
      <c r="I196" s="7"/>
    </row>
    <row r="197" spans="2:9" ht="12.75">
      <c r="B197" s="7"/>
      <c r="C197" s="7"/>
      <c r="D197" s="7"/>
      <c r="E197" s="7"/>
      <c r="F197" s="7"/>
      <c r="G197" s="7"/>
      <c r="H197" s="7"/>
      <c r="I197" s="7"/>
    </row>
    <row r="198" spans="2:9" ht="12.75">
      <c r="B198" s="7"/>
      <c r="C198" s="7"/>
      <c r="D198" s="7"/>
      <c r="E198" s="7"/>
      <c r="F198" s="7"/>
      <c r="G198" s="7"/>
      <c r="H198" s="7"/>
      <c r="I198" s="7"/>
    </row>
    <row r="199" spans="2:9" ht="12.75">
      <c r="B199" s="7"/>
      <c r="C199" s="7"/>
      <c r="D199" s="7"/>
      <c r="E199" s="7"/>
      <c r="F199" s="7"/>
      <c r="G199" s="7"/>
      <c r="H199" s="7"/>
      <c r="I199" s="7"/>
    </row>
    <row r="200" spans="2:9" ht="12.75">
      <c r="B200" s="7"/>
      <c r="C200" s="7"/>
      <c r="D200" s="7"/>
      <c r="E200" s="7"/>
      <c r="F200" s="7"/>
      <c r="G200" s="7"/>
      <c r="H200" s="7"/>
      <c r="I200" s="7"/>
    </row>
    <row r="201" spans="2:9" ht="12.75">
      <c r="B201" s="7"/>
      <c r="C201" s="7"/>
      <c r="D201" s="7"/>
      <c r="E201" s="7"/>
      <c r="F201" s="7"/>
      <c r="G201" s="7"/>
      <c r="H201" s="7"/>
      <c r="I201" s="7"/>
    </row>
    <row r="202" spans="2:9" ht="12.75">
      <c r="B202" s="7"/>
      <c r="C202" s="7"/>
      <c r="D202" s="7"/>
      <c r="E202" s="7"/>
      <c r="F202" s="7"/>
      <c r="G202" s="7"/>
      <c r="H202" s="7"/>
      <c r="I202" s="7"/>
    </row>
    <row r="203" spans="2:9" ht="12.75">
      <c r="B203" s="7"/>
      <c r="C203" s="7"/>
      <c r="D203" s="7"/>
      <c r="E203" s="7"/>
      <c r="F203" s="7"/>
      <c r="G203" s="7"/>
      <c r="H203" s="7"/>
      <c r="I203" s="7"/>
    </row>
    <row r="204" spans="2:9" ht="12.75">
      <c r="B204" s="7"/>
      <c r="C204" s="7"/>
      <c r="D204" s="7"/>
      <c r="E204" s="7"/>
      <c r="F204" s="7"/>
      <c r="G204" s="7"/>
      <c r="H204" s="7"/>
      <c r="I204" s="7"/>
    </row>
    <row r="205" spans="2:9" ht="12.75">
      <c r="B205" s="7"/>
      <c r="C205" s="7"/>
      <c r="D205" s="7"/>
      <c r="E205" s="7"/>
      <c r="F205" s="7"/>
      <c r="G205" s="7"/>
      <c r="H205" s="7"/>
      <c r="I205" s="7"/>
    </row>
    <row r="206" spans="2:9" ht="12.75">
      <c r="B206" s="7"/>
      <c r="C206" s="7"/>
      <c r="D206" s="7"/>
      <c r="E206" s="7"/>
      <c r="F206" s="7"/>
      <c r="G206" s="7"/>
      <c r="H206" s="7"/>
      <c r="I206" s="7"/>
    </row>
    <row r="207" spans="2:9" ht="12.75">
      <c r="B207" s="7"/>
      <c r="C207" s="7"/>
      <c r="D207" s="7"/>
      <c r="E207" s="7"/>
      <c r="F207" s="7"/>
      <c r="G207" s="7"/>
      <c r="H207" s="7"/>
      <c r="I207" s="7"/>
    </row>
    <row r="208" spans="2:9" ht="12.75">
      <c r="B208" s="7"/>
      <c r="C208" s="7"/>
      <c r="D208" s="7"/>
      <c r="E208" s="7"/>
      <c r="F208" s="7"/>
      <c r="G208" s="7"/>
      <c r="H208" s="7"/>
      <c r="I208" s="7"/>
    </row>
    <row r="209" spans="2:9" ht="12.75">
      <c r="B209" s="7"/>
      <c r="C209" s="7"/>
      <c r="D209" s="7"/>
      <c r="E209" s="7"/>
      <c r="F209" s="7"/>
      <c r="G209" s="7"/>
      <c r="H209" s="7"/>
      <c r="I209" s="7"/>
    </row>
    <row r="210" spans="2:9" ht="12.75">
      <c r="B210" s="7"/>
      <c r="C210" s="7"/>
      <c r="D210" s="7"/>
      <c r="E210" s="7"/>
      <c r="F210" s="7"/>
      <c r="G210" s="7"/>
      <c r="H210" s="7"/>
      <c r="I210" s="7"/>
    </row>
    <row r="211" spans="2:9" ht="12.75">
      <c r="B211" s="7"/>
      <c r="C211" s="7"/>
      <c r="D211" s="7"/>
      <c r="E211" s="7"/>
      <c r="F211" s="7"/>
      <c r="G211" s="7"/>
      <c r="H211" s="7"/>
      <c r="I211" s="7"/>
    </row>
    <row r="212" spans="2:9" ht="12.75">
      <c r="B212" s="7"/>
      <c r="C212" s="7"/>
      <c r="D212" s="7"/>
      <c r="E212" s="7"/>
      <c r="F212" s="7"/>
      <c r="G212" s="7"/>
      <c r="H212" s="7"/>
      <c r="I212" s="7"/>
    </row>
    <row r="213" spans="2:9" ht="12.75">
      <c r="B213" s="7"/>
      <c r="C213" s="7"/>
      <c r="D213" s="7"/>
      <c r="E213" s="7"/>
      <c r="F213" s="7"/>
      <c r="G213" s="7"/>
      <c r="H213" s="7"/>
      <c r="I213" s="7"/>
    </row>
    <row r="214" spans="2:9" ht="12.75">
      <c r="B214" s="7"/>
      <c r="C214" s="7"/>
      <c r="D214" s="7"/>
      <c r="E214" s="7"/>
      <c r="F214" s="7"/>
      <c r="G214" s="7"/>
      <c r="H214" s="7"/>
      <c r="I214" s="7"/>
    </row>
    <row r="215" spans="2:9" ht="12.75">
      <c r="B215" s="7"/>
      <c r="C215" s="7"/>
      <c r="D215" s="7"/>
      <c r="E215" s="7"/>
      <c r="F215" s="7"/>
      <c r="G215" s="7"/>
      <c r="H215" s="7"/>
      <c r="I215" s="7"/>
    </row>
    <row r="216" spans="2:9" ht="12.75">
      <c r="B216" s="7"/>
      <c r="C216" s="7"/>
      <c r="D216" s="7"/>
      <c r="E216" s="7"/>
      <c r="F216" s="7"/>
      <c r="G216" s="7"/>
      <c r="H216" s="7"/>
      <c r="I216" s="7"/>
    </row>
    <row r="217" spans="2:9" ht="12.75">
      <c r="B217" s="7"/>
      <c r="C217" s="7"/>
      <c r="D217" s="7"/>
      <c r="E217" s="7"/>
      <c r="F217" s="7"/>
      <c r="G217" s="7"/>
      <c r="H217" s="7"/>
      <c r="I217" s="7"/>
    </row>
    <row r="218" spans="2:9" ht="12.75">
      <c r="B218" s="7"/>
      <c r="C218" s="7"/>
      <c r="D218" s="7"/>
      <c r="E218" s="7"/>
      <c r="F218" s="7"/>
      <c r="G218" s="7"/>
      <c r="H218" s="7"/>
      <c r="I218" s="7"/>
    </row>
    <row r="219" spans="2:9" ht="12.75">
      <c r="B219" s="7"/>
      <c r="C219" s="7"/>
      <c r="D219" s="7"/>
      <c r="E219" s="7"/>
      <c r="F219" s="7"/>
      <c r="G219" s="7"/>
      <c r="H219" s="7"/>
      <c r="I219" s="7"/>
    </row>
    <row r="220" spans="2:9" ht="12.75">
      <c r="B220" s="7"/>
      <c r="C220" s="7"/>
      <c r="D220" s="7"/>
      <c r="E220" s="7"/>
      <c r="F220" s="7"/>
      <c r="G220" s="7"/>
      <c r="H220" s="7"/>
      <c r="I220" s="7"/>
    </row>
    <row r="221" spans="2:9" ht="12.75">
      <c r="B221" s="7"/>
      <c r="C221" s="7"/>
      <c r="D221" s="7"/>
      <c r="E221" s="7"/>
      <c r="F221" s="7"/>
      <c r="G221" s="7"/>
      <c r="H221" s="7"/>
      <c r="I221" s="7"/>
    </row>
    <row r="222" spans="2:9" ht="12.75">
      <c r="B222" s="7"/>
      <c r="C222" s="7"/>
      <c r="D222" s="7"/>
      <c r="E222" s="7"/>
      <c r="F222" s="7"/>
      <c r="G222" s="7"/>
      <c r="H222" s="7"/>
      <c r="I222" s="7"/>
    </row>
    <row r="223" spans="2:9" ht="12.75">
      <c r="B223" s="7"/>
      <c r="C223" s="7"/>
      <c r="D223" s="7"/>
      <c r="E223" s="7"/>
      <c r="F223" s="7"/>
      <c r="G223" s="7"/>
      <c r="H223" s="7"/>
      <c r="I223" s="7"/>
    </row>
    <row r="224" spans="2:9" ht="12.75">
      <c r="B224" s="7"/>
      <c r="C224" s="7"/>
      <c r="D224" s="7"/>
      <c r="E224" s="7"/>
      <c r="F224" s="7"/>
      <c r="G224" s="7"/>
      <c r="H224" s="7"/>
      <c r="I224" s="7"/>
    </row>
    <row r="225" spans="2:9" ht="12.75">
      <c r="B225" s="7"/>
      <c r="C225" s="7"/>
      <c r="D225" s="7"/>
      <c r="E225" s="7"/>
      <c r="F225" s="7"/>
      <c r="G225" s="7"/>
      <c r="H225" s="7"/>
      <c r="I225" s="7"/>
    </row>
    <row r="226" spans="2:9" ht="12.75">
      <c r="B226" s="7"/>
      <c r="C226" s="7"/>
      <c r="D226" s="7"/>
      <c r="E226" s="7"/>
      <c r="F226" s="7"/>
      <c r="G226" s="7"/>
      <c r="H226" s="7"/>
      <c r="I226" s="7"/>
    </row>
    <row r="227" spans="2:9" ht="12.75">
      <c r="B227" s="7"/>
      <c r="C227" s="7"/>
      <c r="D227" s="7"/>
      <c r="E227" s="7"/>
      <c r="F227" s="7"/>
      <c r="G227" s="7"/>
      <c r="H227" s="7"/>
      <c r="I227" s="7"/>
    </row>
    <row r="228" spans="2:9" ht="12.75">
      <c r="B228" s="7"/>
      <c r="C228" s="7"/>
      <c r="D228" s="7"/>
      <c r="E228" s="7"/>
      <c r="F228" s="7"/>
      <c r="G228" s="7"/>
      <c r="H228" s="7"/>
      <c r="I228" s="7"/>
    </row>
    <row r="229" spans="2:9" ht="12.75">
      <c r="B229" s="7"/>
      <c r="C229" s="7"/>
      <c r="D229" s="7"/>
      <c r="E229" s="7"/>
      <c r="F229" s="7"/>
      <c r="G229" s="7"/>
      <c r="H229" s="7"/>
      <c r="I229" s="7"/>
    </row>
    <row r="230" spans="2:9" ht="12.75">
      <c r="B230" s="7"/>
      <c r="C230" s="7"/>
      <c r="D230" s="7"/>
      <c r="E230" s="7"/>
      <c r="F230" s="7"/>
      <c r="G230" s="7"/>
      <c r="H230" s="7"/>
      <c r="I230" s="7"/>
    </row>
    <row r="231" spans="2:9" ht="12.75">
      <c r="B231" s="7"/>
      <c r="C231" s="7"/>
      <c r="D231" s="7"/>
      <c r="E231" s="7"/>
      <c r="F231" s="7"/>
      <c r="G231" s="7"/>
      <c r="H231" s="7"/>
      <c r="I231" s="7"/>
    </row>
    <row r="232" spans="2:9" ht="12.75">
      <c r="B232" s="7"/>
      <c r="C232" s="7"/>
      <c r="D232" s="7"/>
      <c r="E232" s="7"/>
      <c r="F232" s="7"/>
      <c r="G232" s="7"/>
      <c r="H232" s="7"/>
      <c r="I232" s="7"/>
    </row>
    <row r="233" spans="2:9" ht="12.75">
      <c r="B233" s="7"/>
      <c r="C233" s="7"/>
      <c r="D233" s="7"/>
      <c r="E233" s="7"/>
      <c r="F233" s="7"/>
      <c r="G233" s="7"/>
      <c r="H233" s="7"/>
      <c r="I233" s="7"/>
    </row>
    <row r="234" spans="2:9" ht="12.75">
      <c r="B234" s="7"/>
      <c r="C234" s="7"/>
      <c r="D234" s="7"/>
      <c r="E234" s="7"/>
      <c r="F234" s="7"/>
      <c r="G234" s="7"/>
      <c r="H234" s="7"/>
      <c r="I234" s="7"/>
    </row>
    <row r="235" spans="2:9" ht="12.75">
      <c r="B235" s="7"/>
      <c r="C235" s="7"/>
      <c r="D235" s="7"/>
      <c r="E235" s="7"/>
      <c r="F235" s="7"/>
      <c r="G235" s="7"/>
      <c r="H235" s="7"/>
      <c r="I235" s="7"/>
    </row>
    <row r="236" spans="2:9" ht="12.75">
      <c r="B236" s="7"/>
      <c r="C236" s="7"/>
      <c r="D236" s="7"/>
      <c r="E236" s="7"/>
      <c r="F236" s="7"/>
      <c r="G236" s="7"/>
      <c r="H236" s="7"/>
      <c r="I236" s="7"/>
    </row>
    <row r="237" spans="2:9" ht="12.75">
      <c r="B237" s="7"/>
      <c r="C237" s="7"/>
      <c r="D237" s="7"/>
      <c r="E237" s="7"/>
      <c r="F237" s="7"/>
      <c r="G237" s="7"/>
      <c r="H237" s="7"/>
      <c r="I237" s="7"/>
    </row>
    <row r="238" spans="2:9" ht="12.75">
      <c r="B238" s="7"/>
      <c r="C238" s="7"/>
      <c r="D238" s="7"/>
      <c r="E238" s="7"/>
      <c r="F238" s="7"/>
      <c r="G238" s="7"/>
      <c r="H238" s="7"/>
      <c r="I238" s="7"/>
    </row>
    <row r="239" spans="2:9" ht="12.75">
      <c r="B239" s="7"/>
      <c r="C239" s="7"/>
      <c r="D239" s="7"/>
      <c r="E239" s="7"/>
      <c r="F239" s="7"/>
      <c r="G239" s="7"/>
      <c r="H239" s="7"/>
      <c r="I239" s="7"/>
    </row>
    <row r="240" spans="2:9" ht="12.75">
      <c r="B240" s="7"/>
      <c r="C240" s="7"/>
      <c r="D240" s="7"/>
      <c r="E240" s="7"/>
      <c r="F240" s="7"/>
      <c r="G240" s="7"/>
      <c r="H240" s="7"/>
      <c r="I240" s="7"/>
    </row>
    <row r="241" spans="2:9" ht="12.75">
      <c r="B241" s="7"/>
      <c r="C241" s="7"/>
      <c r="D241" s="7"/>
      <c r="E241" s="7"/>
      <c r="F241" s="7"/>
      <c r="G241" s="7"/>
      <c r="H241" s="7"/>
      <c r="I241" s="7"/>
    </row>
    <row r="242" spans="2:9" ht="12.75">
      <c r="B242" s="7"/>
      <c r="C242" s="7"/>
      <c r="D242" s="7"/>
      <c r="E242" s="7"/>
      <c r="F242" s="7"/>
      <c r="G242" s="7"/>
      <c r="H242" s="7"/>
      <c r="I242" s="7"/>
    </row>
    <row r="243" spans="2:9" ht="12.75">
      <c r="B243" s="7"/>
      <c r="C243" s="7"/>
      <c r="D243" s="7"/>
      <c r="E243" s="7"/>
      <c r="F243" s="7"/>
      <c r="G243" s="7"/>
      <c r="H243" s="7"/>
      <c r="I243" s="7"/>
    </row>
    <row r="244" spans="2:9" ht="12.75">
      <c r="B244" s="7"/>
      <c r="C244" s="7"/>
      <c r="D244" s="7"/>
      <c r="E244" s="7"/>
      <c r="F244" s="7"/>
      <c r="G244" s="7"/>
      <c r="H244" s="7"/>
      <c r="I244" s="7"/>
    </row>
    <row r="245" spans="2:9" ht="12.75">
      <c r="B245" s="7"/>
      <c r="C245" s="7"/>
      <c r="D245" s="7"/>
      <c r="E245" s="7"/>
      <c r="F245" s="7"/>
      <c r="G245" s="7"/>
      <c r="H245" s="7"/>
      <c r="I245" s="7"/>
    </row>
    <row r="246" spans="2:9" ht="12.75">
      <c r="B246" s="7"/>
      <c r="C246" s="7"/>
      <c r="D246" s="7"/>
      <c r="E246" s="7"/>
      <c r="F246" s="7"/>
      <c r="G246" s="7"/>
      <c r="H246" s="7"/>
      <c r="I246" s="7"/>
    </row>
    <row r="247" spans="2:9" ht="12.75">
      <c r="B247" s="7"/>
      <c r="C247" s="7"/>
      <c r="D247" s="7"/>
      <c r="E247" s="7"/>
      <c r="F247" s="7"/>
      <c r="G247" s="7"/>
      <c r="H247" s="7"/>
      <c r="I247" s="7"/>
    </row>
    <row r="248" spans="2:9" ht="12.75">
      <c r="B248" s="7"/>
      <c r="C248" s="7"/>
      <c r="D248" s="7"/>
      <c r="E248" s="7"/>
      <c r="F248" s="7"/>
      <c r="G248" s="7"/>
      <c r="H248" s="7"/>
      <c r="I248" s="7"/>
    </row>
    <row r="249" spans="2:9" ht="12.75">
      <c r="B249" s="7"/>
      <c r="C249" s="7"/>
      <c r="D249" s="7"/>
      <c r="E249" s="7"/>
      <c r="F249" s="7"/>
      <c r="G249" s="7"/>
      <c r="H249" s="7"/>
      <c r="I249" s="7"/>
    </row>
    <row r="250" spans="2:9" ht="12.75">
      <c r="B250" s="7"/>
      <c r="C250" s="7"/>
      <c r="D250" s="7"/>
      <c r="E250" s="7"/>
      <c r="F250" s="7"/>
      <c r="G250" s="7"/>
      <c r="H250" s="7"/>
      <c r="I250" s="7"/>
    </row>
    <row r="251" spans="2:9" ht="12.75">
      <c r="B251" s="7"/>
      <c r="C251" s="7"/>
      <c r="D251" s="7"/>
      <c r="E251" s="7"/>
      <c r="F251" s="7"/>
      <c r="G251" s="7"/>
      <c r="H251" s="7"/>
      <c r="I251" s="7"/>
    </row>
    <row r="252" spans="2:9" ht="12.75">
      <c r="B252" s="7"/>
      <c r="C252" s="7"/>
      <c r="D252" s="7"/>
      <c r="E252" s="7"/>
      <c r="F252" s="7"/>
      <c r="G252" s="7"/>
      <c r="H252" s="7"/>
      <c r="I252" s="7"/>
    </row>
    <row r="253" spans="2:9" ht="12.75">
      <c r="B253" s="7"/>
      <c r="C253" s="7"/>
      <c r="D253" s="7"/>
      <c r="E253" s="7"/>
      <c r="F253" s="7"/>
      <c r="G253" s="7"/>
      <c r="H253" s="7"/>
      <c r="I253" s="7"/>
    </row>
    <row r="254" spans="2:9" ht="12.75">
      <c r="B254" s="7"/>
      <c r="C254" s="7"/>
      <c r="D254" s="7"/>
      <c r="E254" s="7"/>
      <c r="F254" s="7"/>
      <c r="G254" s="7"/>
      <c r="H254" s="7"/>
      <c r="I254" s="7"/>
    </row>
    <row r="255" spans="2:9" ht="12.75">
      <c r="B255" s="7"/>
      <c r="C255" s="7"/>
      <c r="D255" s="7"/>
      <c r="E255" s="7"/>
      <c r="F255" s="7"/>
      <c r="G255" s="7"/>
      <c r="H255" s="7"/>
      <c r="I255" s="7"/>
    </row>
    <row r="256" spans="2:9" ht="12.75">
      <c r="B256" s="7"/>
      <c r="C256" s="7"/>
      <c r="D256" s="7"/>
      <c r="E256" s="7"/>
      <c r="F256" s="7"/>
      <c r="G256" s="7"/>
      <c r="H256" s="7"/>
      <c r="I256" s="7"/>
    </row>
    <row r="257" spans="2:9" ht="12.75">
      <c r="B257" s="7"/>
      <c r="C257" s="7"/>
      <c r="D257" s="7"/>
      <c r="E257" s="7"/>
      <c r="F257" s="7"/>
      <c r="G257" s="7"/>
      <c r="H257" s="7"/>
      <c r="I257" s="7"/>
    </row>
    <row r="258" spans="2:9" ht="12.75">
      <c r="B258" s="7"/>
      <c r="C258" s="7"/>
      <c r="D258" s="7"/>
      <c r="E258" s="7"/>
      <c r="F258" s="7"/>
      <c r="G258" s="7"/>
      <c r="H258" s="7"/>
      <c r="I258" s="7"/>
    </row>
    <row r="259" spans="2:9" ht="12.75">
      <c r="B259" s="7"/>
      <c r="C259" s="7"/>
      <c r="D259" s="7"/>
      <c r="E259" s="7"/>
      <c r="F259" s="7"/>
      <c r="G259" s="7"/>
      <c r="H259" s="7"/>
      <c r="I259" s="7"/>
    </row>
    <row r="260" spans="2:9" ht="12.75">
      <c r="B260" s="7"/>
      <c r="C260" s="7"/>
      <c r="D260" s="7"/>
      <c r="E260" s="7"/>
      <c r="F260" s="7"/>
      <c r="G260" s="7"/>
      <c r="H260" s="7"/>
      <c r="I260" s="7"/>
    </row>
    <row r="261" spans="2:9" ht="12.75">
      <c r="B261" s="7"/>
      <c r="C261" s="7"/>
      <c r="D261" s="7"/>
      <c r="E261" s="7"/>
      <c r="F261" s="7"/>
      <c r="G261" s="7"/>
      <c r="H261" s="7"/>
      <c r="I261" s="7"/>
    </row>
    <row r="262" spans="2:9" ht="12.75">
      <c r="B262" s="7"/>
      <c r="C262" s="7"/>
      <c r="D262" s="7"/>
      <c r="E262" s="7"/>
      <c r="F262" s="7"/>
      <c r="G262" s="7"/>
      <c r="H262" s="7"/>
      <c r="I262" s="7"/>
    </row>
    <row r="263" spans="2:9" ht="12.75">
      <c r="B263" s="7"/>
      <c r="C263" s="7"/>
      <c r="D263" s="7"/>
      <c r="E263" s="7"/>
      <c r="F263" s="7"/>
      <c r="G263" s="7"/>
      <c r="H263" s="7"/>
      <c r="I263" s="7"/>
    </row>
    <row r="264" spans="2:9" ht="12.75">
      <c r="B264" s="7"/>
      <c r="C264" s="7"/>
      <c r="D264" s="7"/>
      <c r="E264" s="7"/>
      <c r="F264" s="7"/>
      <c r="G264" s="7"/>
      <c r="H264" s="7"/>
      <c r="I264" s="7"/>
    </row>
    <row r="265" spans="2:9" ht="12.75">
      <c r="B265" s="7"/>
      <c r="C265" s="7"/>
      <c r="D265" s="7"/>
      <c r="E265" s="7"/>
      <c r="F265" s="7"/>
      <c r="G265" s="7"/>
      <c r="H265" s="7"/>
      <c r="I265" s="7"/>
    </row>
    <row r="266" spans="2:9" ht="12.75">
      <c r="B266" s="7"/>
      <c r="C266" s="7"/>
      <c r="D266" s="7"/>
      <c r="E266" s="7"/>
      <c r="F266" s="7"/>
      <c r="G266" s="7"/>
      <c r="H266" s="7"/>
      <c r="I266" s="7"/>
    </row>
    <row r="267" spans="2:9" ht="12.75">
      <c r="B267" s="7"/>
      <c r="C267" s="7"/>
      <c r="D267" s="7"/>
      <c r="E267" s="7"/>
      <c r="F267" s="7"/>
      <c r="G267" s="7"/>
      <c r="H267" s="7"/>
      <c r="I267" s="7"/>
    </row>
    <row r="268" spans="2:9" ht="12.75">
      <c r="B268" s="7"/>
      <c r="C268" s="7"/>
      <c r="D268" s="7"/>
      <c r="E268" s="7"/>
      <c r="F268" s="7"/>
      <c r="G268" s="7"/>
      <c r="H268" s="7"/>
      <c r="I268" s="7"/>
    </row>
    <row r="269" spans="2:9" ht="12.75">
      <c r="B269" s="7"/>
      <c r="C269" s="7"/>
      <c r="D269" s="7"/>
      <c r="E269" s="7"/>
      <c r="F269" s="7"/>
      <c r="G269" s="7"/>
      <c r="H269" s="7"/>
      <c r="I269" s="7"/>
    </row>
    <row r="270" spans="2:9" ht="12.75">
      <c r="B270" s="7"/>
      <c r="C270" s="7"/>
      <c r="D270" s="7"/>
      <c r="E270" s="7"/>
      <c r="F270" s="7"/>
      <c r="G270" s="7"/>
      <c r="H270" s="7"/>
      <c r="I270" s="7"/>
    </row>
    <row r="271" spans="2:9" ht="12.75">
      <c r="B271" s="7"/>
      <c r="C271" s="7"/>
      <c r="D271" s="7"/>
      <c r="E271" s="7"/>
      <c r="F271" s="7"/>
      <c r="G271" s="7"/>
      <c r="H271" s="7"/>
      <c r="I271" s="7"/>
    </row>
    <row r="272" spans="2:9" ht="12.75">
      <c r="B272" s="7"/>
      <c r="C272" s="7"/>
      <c r="D272" s="7"/>
      <c r="E272" s="7"/>
      <c r="F272" s="7"/>
      <c r="G272" s="7"/>
      <c r="H272" s="7"/>
      <c r="I272" s="7"/>
    </row>
    <row r="273" spans="2:9" ht="12.75">
      <c r="B273" s="7"/>
      <c r="C273" s="7"/>
      <c r="D273" s="7"/>
      <c r="E273" s="7"/>
      <c r="F273" s="7"/>
      <c r="G273" s="7"/>
      <c r="H273" s="7"/>
      <c r="I273" s="7"/>
    </row>
    <row r="274" s="22" customFormat="1" ht="12.75"/>
    <row r="275" s="22" customFormat="1" ht="12.75"/>
    <row r="276" s="22" customFormat="1" ht="12.75"/>
    <row r="277" s="22" customFormat="1" ht="12.75"/>
    <row r="278" spans="2:9" ht="12.75">
      <c r="B278" s="7"/>
      <c r="C278" s="7"/>
      <c r="D278" s="7"/>
      <c r="E278" s="7"/>
      <c r="F278" s="7"/>
      <c r="G278" s="7"/>
      <c r="H278" s="7"/>
      <c r="I278" s="7"/>
    </row>
    <row r="279" spans="2:9" ht="12.75">
      <c r="B279" s="7"/>
      <c r="C279" s="7"/>
      <c r="D279" s="7"/>
      <c r="E279" s="7"/>
      <c r="F279" s="7"/>
      <c r="G279" s="7"/>
      <c r="H279" s="7"/>
      <c r="I279" s="7"/>
    </row>
    <row r="280" spans="2:9" ht="12.75">
      <c r="B280" s="7"/>
      <c r="C280" s="7"/>
      <c r="D280" s="7"/>
      <c r="E280" s="7"/>
      <c r="F280" s="7"/>
      <c r="G280" s="7"/>
      <c r="H280" s="7"/>
      <c r="I280" s="7"/>
    </row>
    <row r="281" spans="2:9" ht="12.75">
      <c r="B281" s="7"/>
      <c r="C281" s="7"/>
      <c r="D281" s="7"/>
      <c r="E281" s="7"/>
      <c r="F281" s="7"/>
      <c r="G281" s="7"/>
      <c r="H281" s="7"/>
      <c r="I281" s="7"/>
    </row>
    <row r="282" spans="2:9" ht="12.75">
      <c r="B282" s="7"/>
      <c r="C282" s="7"/>
      <c r="D282" s="7"/>
      <c r="E282" s="7"/>
      <c r="F282" s="7"/>
      <c r="G282" s="7"/>
      <c r="H282" s="7"/>
      <c r="I282" s="7"/>
    </row>
    <row r="283" spans="2:9" ht="12.75">
      <c r="B283" s="7"/>
      <c r="C283" s="7"/>
      <c r="D283" s="7"/>
      <c r="E283" s="7"/>
      <c r="F283" s="7"/>
      <c r="G283" s="7"/>
      <c r="H283" s="7"/>
      <c r="I283" s="7"/>
    </row>
    <row r="284" spans="2:9" ht="12.75">
      <c r="B284" s="7"/>
      <c r="C284" s="7"/>
      <c r="D284" s="7"/>
      <c r="E284" s="7"/>
      <c r="F284" s="7"/>
      <c r="G284" s="7"/>
      <c r="H284" s="7"/>
      <c r="I284" s="7"/>
    </row>
    <row r="285" spans="2:9" ht="12.75">
      <c r="B285" s="7"/>
      <c r="C285" s="7"/>
      <c r="D285" s="7"/>
      <c r="E285" s="7"/>
      <c r="F285" s="7"/>
      <c r="G285" s="7"/>
      <c r="H285" s="7"/>
      <c r="I285" s="7"/>
    </row>
    <row r="286" spans="2:9" ht="12.75">
      <c r="B286" s="7"/>
      <c r="C286" s="7"/>
      <c r="D286" s="7"/>
      <c r="E286" s="7"/>
      <c r="F286" s="7"/>
      <c r="G286" s="7"/>
      <c r="H286" s="7"/>
      <c r="I286" s="7"/>
    </row>
    <row r="287" spans="2:9" ht="12.75">
      <c r="B287" s="7"/>
      <c r="C287" s="7"/>
      <c r="D287" s="7"/>
      <c r="E287" s="7"/>
      <c r="F287" s="7"/>
      <c r="G287" s="7"/>
      <c r="H287" s="7"/>
      <c r="I287" s="7"/>
    </row>
    <row r="288" spans="2:9" ht="12.75">
      <c r="B288" s="7"/>
      <c r="C288" s="7"/>
      <c r="D288" s="7"/>
      <c r="E288" s="7"/>
      <c r="F288" s="7"/>
      <c r="G288" s="7"/>
      <c r="H288" s="7"/>
      <c r="I288" s="7"/>
    </row>
    <row r="289" spans="2:9" ht="12.75">
      <c r="B289" s="7"/>
      <c r="C289" s="7"/>
      <c r="D289" s="7"/>
      <c r="E289" s="7"/>
      <c r="F289" s="7"/>
      <c r="G289" s="7"/>
      <c r="H289" s="7"/>
      <c r="I289" s="7"/>
    </row>
    <row r="290" spans="2:9" ht="12.75">
      <c r="B290" s="7"/>
      <c r="C290" s="7"/>
      <c r="D290" s="7"/>
      <c r="E290" s="7"/>
      <c r="F290" s="7"/>
      <c r="G290" s="7"/>
      <c r="H290" s="7"/>
      <c r="I290" s="7"/>
    </row>
    <row r="291" spans="2:9" ht="12.75">
      <c r="B291" s="7"/>
      <c r="C291" s="7"/>
      <c r="D291" s="7"/>
      <c r="E291" s="7"/>
      <c r="F291" s="7"/>
      <c r="G291" s="7"/>
      <c r="H291" s="7"/>
      <c r="I291" s="7"/>
    </row>
    <row r="292" spans="2:9" ht="12.75">
      <c r="B292" s="7"/>
      <c r="C292" s="7"/>
      <c r="D292" s="7"/>
      <c r="E292" s="7"/>
      <c r="F292" s="7"/>
      <c r="G292" s="7"/>
      <c r="H292" s="7"/>
      <c r="I292" s="7"/>
    </row>
    <row r="293" spans="2:9" ht="12.75">
      <c r="B293" s="7"/>
      <c r="C293" s="7"/>
      <c r="D293" s="7"/>
      <c r="E293" s="7"/>
      <c r="F293" s="7"/>
      <c r="G293" s="7"/>
      <c r="H293" s="7"/>
      <c r="I293" s="7"/>
    </row>
    <row r="294" spans="2:9" ht="12.75">
      <c r="B294" s="7"/>
      <c r="C294" s="7"/>
      <c r="D294" s="7"/>
      <c r="E294" s="7"/>
      <c r="F294" s="7"/>
      <c r="G294" s="7"/>
      <c r="H294" s="7"/>
      <c r="I294" s="7"/>
    </row>
    <row r="295" spans="2:9" ht="12.75">
      <c r="B295" s="7"/>
      <c r="C295" s="7"/>
      <c r="D295" s="7"/>
      <c r="E295" s="7"/>
      <c r="F295" s="7"/>
      <c r="G295" s="7"/>
      <c r="H295" s="7"/>
      <c r="I295" s="7"/>
    </row>
    <row r="296" spans="2:9" ht="12.75">
      <c r="B296" s="7"/>
      <c r="C296" s="7"/>
      <c r="D296" s="7"/>
      <c r="E296" s="7"/>
      <c r="F296" s="7"/>
      <c r="G296" s="7"/>
      <c r="H296" s="7"/>
      <c r="I296" s="7"/>
    </row>
    <row r="297" spans="2:9" ht="12.75">
      <c r="B297" s="7"/>
      <c r="C297" s="7"/>
      <c r="D297" s="7"/>
      <c r="E297" s="7"/>
      <c r="F297" s="7"/>
      <c r="G297" s="7"/>
      <c r="H297" s="7"/>
      <c r="I297" s="7"/>
    </row>
    <row r="298" spans="2:9" ht="12.75">
      <c r="B298" s="7"/>
      <c r="C298" s="7"/>
      <c r="D298" s="7"/>
      <c r="E298" s="7"/>
      <c r="F298" s="7"/>
      <c r="G298" s="7"/>
      <c r="H298" s="7"/>
      <c r="I298" s="7"/>
    </row>
    <row r="299" spans="2:9" ht="12.75">
      <c r="B299" s="7"/>
      <c r="C299" s="7"/>
      <c r="D299" s="7"/>
      <c r="E299" s="7"/>
      <c r="F299" s="7"/>
      <c r="G299" s="7"/>
      <c r="H299" s="7"/>
      <c r="I299" s="7"/>
    </row>
    <row r="300" spans="2:9" ht="12.75">
      <c r="B300" s="7"/>
      <c r="C300" s="7"/>
      <c r="D300" s="7"/>
      <c r="E300" s="7"/>
      <c r="F300" s="7"/>
      <c r="G300" s="7"/>
      <c r="H300" s="7"/>
      <c r="I300" s="7"/>
    </row>
    <row r="301" spans="2:9" ht="12.75">
      <c r="B301" s="7"/>
      <c r="C301" s="7"/>
      <c r="D301" s="7"/>
      <c r="E301" s="7"/>
      <c r="F301" s="7"/>
      <c r="G301" s="7"/>
      <c r="H301" s="7"/>
      <c r="I301" s="7"/>
    </row>
    <row r="302" spans="2:9" ht="12.75">
      <c r="B302" s="7"/>
      <c r="C302" s="7"/>
      <c r="D302" s="7"/>
      <c r="E302" s="7"/>
      <c r="F302" s="7"/>
      <c r="G302" s="7"/>
      <c r="H302" s="7"/>
      <c r="I302" s="7"/>
    </row>
    <row r="303" spans="2:9" ht="12.75">
      <c r="B303" s="7"/>
      <c r="C303" s="7"/>
      <c r="D303" s="7"/>
      <c r="E303" s="7"/>
      <c r="F303" s="7"/>
      <c r="G303" s="7"/>
      <c r="H303" s="7"/>
      <c r="I303" s="7"/>
    </row>
    <row r="304" spans="2:9" ht="12.75">
      <c r="B304" s="7"/>
      <c r="C304" s="7"/>
      <c r="D304" s="7"/>
      <c r="E304" s="7"/>
      <c r="F304" s="7"/>
      <c r="G304" s="7"/>
      <c r="H304" s="7"/>
      <c r="I304" s="7"/>
    </row>
    <row r="305" spans="2:9" ht="12.75">
      <c r="B305" s="7"/>
      <c r="C305" s="7"/>
      <c r="D305" s="7"/>
      <c r="E305" s="7"/>
      <c r="F305" s="7"/>
      <c r="G305" s="7"/>
      <c r="H305" s="7"/>
      <c r="I305" s="7"/>
    </row>
    <row r="306" spans="2:9" ht="12.75">
      <c r="B306" s="7"/>
      <c r="C306" s="7"/>
      <c r="D306" s="7"/>
      <c r="E306" s="7"/>
      <c r="F306" s="7"/>
      <c r="G306" s="7"/>
      <c r="H306" s="7"/>
      <c r="I306" s="7"/>
    </row>
    <row r="307" spans="2:9" ht="12.75">
      <c r="B307" s="7"/>
      <c r="C307" s="7"/>
      <c r="D307" s="7"/>
      <c r="E307" s="7"/>
      <c r="F307" s="7"/>
      <c r="G307" s="7"/>
      <c r="H307" s="7"/>
      <c r="I307" s="7"/>
    </row>
    <row r="308" spans="2:9" ht="12.75">
      <c r="B308" s="7"/>
      <c r="C308" s="7"/>
      <c r="D308" s="7"/>
      <c r="E308" s="7"/>
      <c r="F308" s="7"/>
      <c r="G308" s="7"/>
      <c r="H308" s="7"/>
      <c r="I308" s="7"/>
    </row>
    <row r="309" spans="2:9" ht="12.75">
      <c r="B309" s="7"/>
      <c r="C309" s="7"/>
      <c r="D309" s="7"/>
      <c r="E309" s="7"/>
      <c r="F309" s="7"/>
      <c r="G309" s="7"/>
      <c r="H309" s="7"/>
      <c r="I309" s="7"/>
    </row>
    <row r="310" spans="2:9" ht="12.75">
      <c r="B310" s="7"/>
      <c r="C310" s="7"/>
      <c r="D310" s="7"/>
      <c r="E310" s="7"/>
      <c r="F310" s="7"/>
      <c r="G310" s="7"/>
      <c r="H310" s="7"/>
      <c r="I310" s="7"/>
    </row>
    <row r="311" spans="2:9" ht="12.75">
      <c r="B311" s="7"/>
      <c r="C311" s="7"/>
      <c r="D311" s="7"/>
      <c r="E311" s="7"/>
      <c r="F311" s="7"/>
      <c r="G311" s="7"/>
      <c r="H311" s="7"/>
      <c r="I311" s="7"/>
    </row>
    <row r="312" spans="2:9" ht="12.75">
      <c r="B312" s="7"/>
      <c r="C312" s="7"/>
      <c r="D312" s="7"/>
      <c r="E312" s="7"/>
      <c r="F312" s="7"/>
      <c r="G312" s="7"/>
      <c r="H312" s="7"/>
      <c r="I312" s="7"/>
    </row>
    <row r="313" spans="2:9" ht="12.75">
      <c r="B313" s="7"/>
      <c r="C313" s="7"/>
      <c r="D313" s="7"/>
      <c r="E313" s="7"/>
      <c r="F313" s="7"/>
      <c r="G313" s="7"/>
      <c r="H313" s="7"/>
      <c r="I313" s="7"/>
    </row>
    <row r="314" spans="2:9" ht="12.75">
      <c r="B314" s="7"/>
      <c r="C314" s="7"/>
      <c r="D314" s="7"/>
      <c r="E314" s="7"/>
      <c r="F314" s="7"/>
      <c r="G314" s="7"/>
      <c r="H314" s="7"/>
      <c r="I314" s="7"/>
    </row>
    <row r="315" spans="2:9" ht="12.75">
      <c r="B315" s="7"/>
      <c r="C315" s="7"/>
      <c r="D315" s="7"/>
      <c r="E315" s="7"/>
      <c r="F315" s="7"/>
      <c r="G315" s="7"/>
      <c r="H315" s="7"/>
      <c r="I315" s="7"/>
    </row>
    <row r="316" spans="2:9" ht="12.75">
      <c r="B316" s="7"/>
      <c r="C316" s="7"/>
      <c r="D316" s="7"/>
      <c r="E316" s="7"/>
      <c r="F316" s="7"/>
      <c r="G316" s="7"/>
      <c r="H316" s="7"/>
      <c r="I316" s="7"/>
    </row>
    <row r="317" spans="2:9" ht="12.75">
      <c r="B317" s="7"/>
      <c r="C317" s="7"/>
      <c r="D317" s="7"/>
      <c r="E317" s="7"/>
      <c r="F317" s="7"/>
      <c r="G317" s="7"/>
      <c r="H317" s="7"/>
      <c r="I317" s="7"/>
    </row>
    <row r="318" spans="2:9" ht="12.75">
      <c r="B318" s="7"/>
      <c r="C318" s="7"/>
      <c r="D318" s="7"/>
      <c r="E318" s="7"/>
      <c r="F318" s="7"/>
      <c r="G318" s="7"/>
      <c r="H318" s="7"/>
      <c r="I318" s="7"/>
    </row>
    <row r="319" spans="2:9" ht="12.75">
      <c r="B319" s="7"/>
      <c r="C319" s="7"/>
      <c r="D319" s="7"/>
      <c r="E319" s="7"/>
      <c r="F319" s="7"/>
      <c r="G319" s="7"/>
      <c r="H319" s="7"/>
      <c r="I319" s="7"/>
    </row>
    <row r="320" spans="2:9" ht="12.75">
      <c r="B320" s="7"/>
      <c r="C320" s="7"/>
      <c r="D320" s="7"/>
      <c r="E320" s="7"/>
      <c r="F320" s="7"/>
      <c r="G320" s="7"/>
      <c r="H320" s="7"/>
      <c r="I320" s="7"/>
    </row>
    <row r="321" spans="2:9" ht="12.75">
      <c r="B321" s="7"/>
      <c r="C321" s="7"/>
      <c r="D321" s="7"/>
      <c r="E321" s="7"/>
      <c r="F321" s="7"/>
      <c r="G321" s="7"/>
      <c r="H321" s="7"/>
      <c r="I321" s="7"/>
    </row>
    <row r="322" spans="2:9" ht="12.75">
      <c r="B322" s="7"/>
      <c r="C322" s="7"/>
      <c r="D322" s="7"/>
      <c r="E322" s="7"/>
      <c r="F322" s="7"/>
      <c r="G322" s="7"/>
      <c r="H322" s="7"/>
      <c r="I322" s="7"/>
    </row>
    <row r="323" spans="2:9" ht="12.75">
      <c r="B323" s="7"/>
      <c r="C323" s="7"/>
      <c r="D323" s="7"/>
      <c r="E323" s="7"/>
      <c r="F323" s="7"/>
      <c r="G323" s="7"/>
      <c r="H323" s="7"/>
      <c r="I323" s="7"/>
    </row>
    <row r="324" spans="2:9" ht="12.75">
      <c r="B324" s="7"/>
      <c r="C324" s="7"/>
      <c r="D324" s="7"/>
      <c r="E324" s="7"/>
      <c r="F324" s="7"/>
      <c r="G324" s="7"/>
      <c r="H324" s="7"/>
      <c r="I324" s="7"/>
    </row>
    <row r="325" spans="2:9" ht="12.75">
      <c r="B325" s="7"/>
      <c r="C325" s="7"/>
      <c r="D325" s="7"/>
      <c r="E325" s="7"/>
      <c r="F325" s="7"/>
      <c r="G325" s="7"/>
      <c r="H325" s="7"/>
      <c r="I325" s="7"/>
    </row>
    <row r="326" spans="2:9" ht="24" customHeight="1">
      <c r="B326" s="7"/>
      <c r="C326" s="7"/>
      <c r="D326" s="7"/>
      <c r="E326" s="7"/>
      <c r="F326" s="7"/>
      <c r="G326" s="7"/>
      <c r="H326" s="7"/>
      <c r="I326" s="7"/>
    </row>
    <row r="327" spans="2:9" ht="12.75">
      <c r="B327" s="7"/>
      <c r="C327" s="7"/>
      <c r="D327" s="7"/>
      <c r="E327" s="7"/>
      <c r="F327" s="7"/>
      <c r="G327" s="7"/>
      <c r="H327" s="7"/>
      <c r="I327" s="7"/>
    </row>
    <row r="328" spans="2:9" ht="12.75">
      <c r="B328" s="7"/>
      <c r="C328" s="7"/>
      <c r="D328" s="7"/>
      <c r="E328" s="7"/>
      <c r="F328" s="7"/>
      <c r="G328" s="7"/>
      <c r="H328" s="7"/>
      <c r="I328" s="7"/>
    </row>
    <row r="329" spans="2:9" ht="12.75">
      <c r="B329" s="7"/>
      <c r="C329" s="7"/>
      <c r="D329" s="7"/>
      <c r="E329" s="7"/>
      <c r="F329" s="7"/>
      <c r="G329" s="7"/>
      <c r="H329" s="7"/>
      <c r="I329" s="7"/>
    </row>
    <row r="330" spans="2:9" ht="12.75">
      <c r="B330" s="7"/>
      <c r="C330" s="7"/>
      <c r="D330" s="7"/>
      <c r="E330" s="7"/>
      <c r="F330" s="7"/>
      <c r="G330" s="7"/>
      <c r="H330" s="7"/>
      <c r="I330" s="7"/>
    </row>
    <row r="331" spans="2:9" ht="12.75">
      <c r="B331" s="7"/>
      <c r="C331" s="7"/>
      <c r="D331" s="7"/>
      <c r="E331" s="7"/>
      <c r="F331" s="7"/>
      <c r="G331" s="7"/>
      <c r="H331" s="7"/>
      <c r="I331" s="7"/>
    </row>
    <row r="332" spans="2:9" ht="12.75">
      <c r="B332" s="7"/>
      <c r="C332" s="7"/>
      <c r="D332" s="7"/>
      <c r="E332" s="7"/>
      <c r="F332" s="7"/>
      <c r="G332" s="7"/>
      <c r="H332" s="7"/>
      <c r="I332" s="7"/>
    </row>
    <row r="333" spans="2:9" ht="12.75">
      <c r="B333" s="7"/>
      <c r="C333" s="7"/>
      <c r="D333" s="7"/>
      <c r="E333" s="7"/>
      <c r="F333" s="7"/>
      <c r="G333" s="7"/>
      <c r="H333" s="7"/>
      <c r="I333" s="7"/>
    </row>
    <row r="334" s="19" customFormat="1" ht="12.75"/>
    <row r="335" s="19" customFormat="1" ht="12.75"/>
    <row r="336" s="19" customFormat="1" ht="12.75"/>
    <row r="337" s="19" customFormat="1" ht="12.75"/>
    <row r="338" s="19" customFormat="1" ht="12.75"/>
    <row r="339" s="19" customFormat="1" ht="12.75"/>
    <row r="340" s="19" customFormat="1" ht="12.75"/>
    <row r="341" s="19" customFormat="1" ht="12.75"/>
    <row r="342" s="19" customFormat="1" ht="12.75"/>
    <row r="343" s="19" customFormat="1" ht="12.75"/>
    <row r="344" s="20" customFormat="1" ht="12.75"/>
    <row r="345" spans="2:9" ht="12.75">
      <c r="B345" s="7"/>
      <c r="C345" s="7"/>
      <c r="D345" s="7"/>
      <c r="E345" s="7"/>
      <c r="F345" s="7"/>
      <c r="G345" s="7"/>
      <c r="H345" s="7"/>
      <c r="I345" s="7"/>
    </row>
    <row r="346" spans="2:9" ht="12.75">
      <c r="B346" s="7"/>
      <c r="C346" s="7"/>
      <c r="D346" s="7"/>
      <c r="E346" s="7"/>
      <c r="F346" s="7"/>
      <c r="G346" s="7"/>
      <c r="H346" s="7"/>
      <c r="I346" s="7"/>
    </row>
    <row r="347" spans="2:9" ht="12.75">
      <c r="B347" s="7"/>
      <c r="C347" s="7"/>
      <c r="D347" s="7"/>
      <c r="E347" s="7"/>
      <c r="F347" s="7"/>
      <c r="G347" s="7"/>
      <c r="H347" s="7"/>
      <c r="I347" s="7"/>
    </row>
    <row r="348" spans="2:9" ht="12.75">
      <c r="B348" s="7"/>
      <c r="C348" s="7"/>
      <c r="D348" s="7"/>
      <c r="E348" s="7"/>
      <c r="F348" s="7"/>
      <c r="G348" s="7"/>
      <c r="H348" s="7"/>
      <c r="I348" s="7"/>
    </row>
    <row r="349" spans="2:9" ht="12.75">
      <c r="B349" s="7"/>
      <c r="C349" s="7"/>
      <c r="D349" s="7"/>
      <c r="E349" s="7"/>
      <c r="F349" s="7"/>
      <c r="G349" s="7"/>
      <c r="H349" s="7"/>
      <c r="I349" s="7"/>
    </row>
    <row r="350" spans="2:9" ht="12.75">
      <c r="B350" s="7"/>
      <c r="C350" s="7"/>
      <c r="D350" s="7"/>
      <c r="E350" s="7"/>
      <c r="F350" s="7"/>
      <c r="G350" s="7"/>
      <c r="H350" s="7"/>
      <c r="I350" s="7"/>
    </row>
    <row r="351" spans="2:9" ht="12.75">
      <c r="B351" s="7"/>
      <c r="C351" s="7"/>
      <c r="D351" s="7"/>
      <c r="E351" s="7"/>
      <c r="F351" s="7"/>
      <c r="G351" s="7"/>
      <c r="H351" s="7"/>
      <c r="I351" s="7"/>
    </row>
  </sheetData>
  <mergeCells count="2">
    <mergeCell ref="J3:L4"/>
    <mergeCell ref="J5:L5"/>
  </mergeCells>
  <printOptions/>
  <pageMargins left="0.25" right="0.25" top="0.25" bottom="0.25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4"/>
  <sheetViews>
    <sheetView workbookViewId="0" topLeftCell="A1">
      <pane xSplit="1" ySplit="5" topLeftCell="B6" activePane="bottomRight" state="frozen"/>
      <selection pane="topLeft" activeCell="R47" sqref="A1:R47"/>
      <selection pane="topRight" activeCell="R47" sqref="A1:R47"/>
      <selection pane="bottomLeft" activeCell="R47" sqref="A1:R47"/>
      <selection pane="bottomRight" activeCell="A1" sqref="A1:J16384"/>
    </sheetView>
  </sheetViews>
  <sheetFormatPr defaultColWidth="9.140625" defaultRowHeight="12.75"/>
  <cols>
    <col min="1" max="1" width="35.00390625" style="7" bestFit="1" customWidth="1"/>
    <col min="2" max="2" width="8.7109375" style="8" hidden="1" customWidth="1"/>
    <col min="3" max="3" width="7.28125" style="3" hidden="1" customWidth="1"/>
    <col min="4" max="4" width="7.00390625" style="4" hidden="1" customWidth="1"/>
    <col min="5" max="5" width="11.7109375" style="3" hidden="1" customWidth="1"/>
    <col min="6" max="6" width="7.00390625" style="4" hidden="1" customWidth="1"/>
    <col min="7" max="7" width="14.00390625" style="3" hidden="1" customWidth="1"/>
    <col min="8" max="8" width="7.00390625" style="4" hidden="1" customWidth="1"/>
    <col min="9" max="9" width="8.57421875" style="5" hidden="1" customWidth="1"/>
    <col min="10" max="16384" width="9.140625" style="7" customWidth="1"/>
  </cols>
  <sheetData>
    <row r="1" spans="1:2" ht="12.75" customHeight="1">
      <c r="A1" s="1" t="s">
        <v>0</v>
      </c>
      <c r="B1" s="2"/>
    </row>
    <row r="2" spans="1:2" ht="13.5" thickBot="1">
      <c r="A2" s="1" t="s">
        <v>596</v>
      </c>
      <c r="B2" s="2"/>
    </row>
    <row r="3" spans="7:12" ht="12.75" customHeight="1">
      <c r="G3" s="3" t="s">
        <v>597</v>
      </c>
      <c r="J3" s="135" t="s">
        <v>1</v>
      </c>
      <c r="K3" s="136"/>
      <c r="L3" s="137"/>
    </row>
    <row r="4" spans="3:12" ht="13.5" thickBot="1">
      <c r="C4" s="3" t="s">
        <v>2</v>
      </c>
      <c r="D4" s="4" t="s">
        <v>3</v>
      </c>
      <c r="E4" s="3" t="s">
        <v>4</v>
      </c>
      <c r="F4" s="4" t="s">
        <v>3</v>
      </c>
      <c r="G4" s="3" t="s">
        <v>4</v>
      </c>
      <c r="H4" s="4" t="s">
        <v>3</v>
      </c>
      <c r="I4" s="10" t="s">
        <v>5</v>
      </c>
      <c r="J4" s="138"/>
      <c r="K4" s="139"/>
      <c r="L4" s="140"/>
    </row>
    <row r="5" spans="1:12" ht="12.75">
      <c r="A5" s="11" t="s">
        <v>6</v>
      </c>
      <c r="B5" s="12" t="s">
        <v>7</v>
      </c>
      <c r="C5" s="13" t="s">
        <v>8</v>
      </c>
      <c r="D5" s="4" t="s">
        <v>9</v>
      </c>
      <c r="E5" s="13" t="s">
        <v>10</v>
      </c>
      <c r="F5" s="4" t="s">
        <v>9</v>
      </c>
      <c r="G5" s="13" t="s">
        <v>11</v>
      </c>
      <c r="H5" s="4" t="s">
        <v>9</v>
      </c>
      <c r="I5" s="10" t="s">
        <v>12</v>
      </c>
      <c r="J5" s="141" t="s">
        <v>622</v>
      </c>
      <c r="K5" s="142"/>
      <c r="L5" s="143"/>
    </row>
    <row r="6" spans="1:12" ht="12.75">
      <c r="A6" s="1" t="s">
        <v>83</v>
      </c>
      <c r="B6" s="2"/>
      <c r="I6" s="10"/>
      <c r="J6" s="111"/>
      <c r="K6" s="112"/>
      <c r="L6" s="48"/>
    </row>
    <row r="7" spans="1:12" ht="12.75">
      <c r="A7" s="7" t="s">
        <v>84</v>
      </c>
      <c r="B7" s="8" t="s">
        <v>85</v>
      </c>
      <c r="C7" s="3">
        <f>15+40</f>
        <v>55</v>
      </c>
      <c r="D7" s="4">
        <f>C7/$C$22</f>
        <v>0.5188679245283019</v>
      </c>
      <c r="E7" s="3">
        <f>1+1+1+12+1+1</f>
        <v>17</v>
      </c>
      <c r="F7" s="4">
        <f>E7/$E$22</f>
        <v>0.09770114942528736</v>
      </c>
      <c r="G7" s="3">
        <v>35</v>
      </c>
      <c r="H7" s="4">
        <f>G7/$G$22</f>
        <v>0.02190237797246558</v>
      </c>
      <c r="I7" s="10">
        <f aca="true" t="shared" si="0" ref="I7:I22">+(D7+F7+H7)/3</f>
        <v>0.21282381730868494</v>
      </c>
      <c r="J7" s="111"/>
      <c r="K7" s="112">
        <f>I7*$K$22</f>
        <v>4478.881449172857</v>
      </c>
      <c r="L7" s="48"/>
    </row>
    <row r="8" spans="1:12" ht="12.75">
      <c r="A8" s="7" t="s">
        <v>86</v>
      </c>
      <c r="B8" s="8" t="s">
        <v>87</v>
      </c>
      <c r="D8" s="4">
        <f aca="true" t="shared" si="1" ref="D8:D21">C8/$C$22</f>
        <v>0</v>
      </c>
      <c r="E8" s="3">
        <v>21</v>
      </c>
      <c r="F8" s="4">
        <f aca="true" t="shared" si="2" ref="F8:F21">E8/$E$22</f>
        <v>0.1206896551724138</v>
      </c>
      <c r="G8" s="3">
        <v>97</v>
      </c>
      <c r="H8" s="4">
        <f aca="true" t="shared" si="3" ref="H8:H21">G8/$G$22</f>
        <v>0.0607008760951189</v>
      </c>
      <c r="I8" s="10">
        <f t="shared" si="0"/>
        <v>0.06046351042251089</v>
      </c>
      <c r="J8" s="111"/>
      <c r="K8" s="112">
        <f aca="true" t="shared" si="4" ref="K8:K21">I8*$K$22</f>
        <v>1272.4557740192479</v>
      </c>
      <c r="L8" s="48"/>
    </row>
    <row r="9" spans="1:12" ht="12.75">
      <c r="A9" s="7" t="s">
        <v>88</v>
      </c>
      <c r="B9" s="8" t="s">
        <v>89</v>
      </c>
      <c r="D9" s="4">
        <f t="shared" si="1"/>
        <v>0</v>
      </c>
      <c r="E9" s="3">
        <v>43</v>
      </c>
      <c r="F9" s="4">
        <f t="shared" si="2"/>
        <v>0.2471264367816092</v>
      </c>
      <c r="G9" s="3">
        <v>86</v>
      </c>
      <c r="H9" s="4">
        <f t="shared" si="3"/>
        <v>0.05381727158948686</v>
      </c>
      <c r="I9" s="10">
        <f t="shared" si="0"/>
        <v>0.10031456945703203</v>
      </c>
      <c r="J9" s="111"/>
      <c r="K9" s="112">
        <f t="shared" si="4"/>
        <v>2111.1221004517142</v>
      </c>
      <c r="L9" s="48"/>
    </row>
    <row r="10" spans="1:12" ht="25.5">
      <c r="A10" s="7" t="s">
        <v>23</v>
      </c>
      <c r="B10" s="16" t="s">
        <v>552</v>
      </c>
      <c r="C10" s="3">
        <f>2</f>
        <v>2</v>
      </c>
      <c r="D10" s="4">
        <f t="shared" si="1"/>
        <v>0.018867924528301886</v>
      </c>
      <c r="F10" s="4">
        <f t="shared" si="2"/>
        <v>0</v>
      </c>
      <c r="G10" s="3">
        <f>23+19+81+3</f>
        <v>126</v>
      </c>
      <c r="H10" s="4">
        <f t="shared" si="3"/>
        <v>0.07884856070087609</v>
      </c>
      <c r="I10" s="10">
        <f t="shared" si="0"/>
        <v>0.032572161743059325</v>
      </c>
      <c r="J10" s="111"/>
      <c r="K10" s="112">
        <f t="shared" si="4"/>
        <v>685.4817888114859</v>
      </c>
      <c r="L10" s="48"/>
    </row>
    <row r="11" spans="1:12" ht="12.75">
      <c r="A11" s="7" t="s">
        <v>90</v>
      </c>
      <c r="B11" s="8" t="s">
        <v>91</v>
      </c>
      <c r="C11" s="3">
        <f>1</f>
        <v>1</v>
      </c>
      <c r="D11" s="4">
        <f t="shared" si="1"/>
        <v>0.009433962264150943</v>
      </c>
      <c r="E11" s="3">
        <f>1</f>
        <v>1</v>
      </c>
      <c r="F11" s="4">
        <f t="shared" si="2"/>
        <v>0.005747126436781609</v>
      </c>
      <c r="G11" s="3">
        <v>661</v>
      </c>
      <c r="H11" s="4">
        <f t="shared" si="3"/>
        <v>0.41364205256570713</v>
      </c>
      <c r="I11" s="10">
        <f t="shared" si="0"/>
        <v>0.1429410470888799</v>
      </c>
      <c r="J11" s="111"/>
      <c r="K11" s="112">
        <f t="shared" si="4"/>
        <v>3008.1971662182095</v>
      </c>
      <c r="L11" s="48"/>
    </row>
    <row r="12" spans="1:12" ht="12.75">
      <c r="A12" s="7" t="s">
        <v>92</v>
      </c>
      <c r="B12" s="8" t="s">
        <v>93</v>
      </c>
      <c r="D12" s="4">
        <f t="shared" si="1"/>
        <v>0</v>
      </c>
      <c r="F12" s="4">
        <f t="shared" si="2"/>
        <v>0</v>
      </c>
      <c r="H12" s="4">
        <f t="shared" si="3"/>
        <v>0</v>
      </c>
      <c r="I12" s="10">
        <f t="shared" si="0"/>
        <v>0</v>
      </c>
      <c r="J12" s="111"/>
      <c r="K12" s="112">
        <f t="shared" si="4"/>
        <v>0</v>
      </c>
      <c r="L12" s="48"/>
    </row>
    <row r="13" spans="1:12" ht="12.75">
      <c r="A13" s="7" t="s">
        <v>95</v>
      </c>
      <c r="B13" s="8" t="s">
        <v>96</v>
      </c>
      <c r="C13" s="3">
        <f>26+18</f>
        <v>44</v>
      </c>
      <c r="D13" s="4">
        <f t="shared" si="1"/>
        <v>0.41509433962264153</v>
      </c>
      <c r="E13" s="3">
        <v>87</v>
      </c>
      <c r="F13" s="4">
        <f t="shared" si="2"/>
        <v>0.5</v>
      </c>
      <c r="G13" s="3">
        <v>175</v>
      </c>
      <c r="H13" s="4">
        <f t="shared" si="3"/>
        <v>0.1095118898623279</v>
      </c>
      <c r="I13" s="10">
        <f t="shared" si="0"/>
        <v>0.34153540982832314</v>
      </c>
      <c r="J13" s="111"/>
      <c r="K13" s="112">
        <f t="shared" si="4"/>
        <v>7187.6194622381745</v>
      </c>
      <c r="L13" s="48"/>
    </row>
    <row r="14" spans="1:12" ht="12.75">
      <c r="A14" s="7" t="s">
        <v>97</v>
      </c>
      <c r="B14" s="8" t="s">
        <v>98</v>
      </c>
      <c r="D14" s="4">
        <f t="shared" si="1"/>
        <v>0</v>
      </c>
      <c r="F14" s="4">
        <f t="shared" si="2"/>
        <v>0</v>
      </c>
      <c r="G14" s="3">
        <v>29</v>
      </c>
      <c r="H14" s="4">
        <f t="shared" si="3"/>
        <v>0.018147684605757195</v>
      </c>
      <c r="I14" s="10">
        <f t="shared" si="0"/>
        <v>0.006049228201919065</v>
      </c>
      <c r="J14" s="111"/>
      <c r="K14" s="112">
        <f t="shared" si="4"/>
        <v>127.30612728410512</v>
      </c>
      <c r="L14" s="48"/>
    </row>
    <row r="15" spans="1:12" ht="12.75">
      <c r="A15" s="7" t="s">
        <v>99</v>
      </c>
      <c r="B15" s="8" t="s">
        <v>100</v>
      </c>
      <c r="C15" s="3">
        <f>3+1</f>
        <v>4</v>
      </c>
      <c r="D15" s="4">
        <f t="shared" si="1"/>
        <v>0.03773584905660377</v>
      </c>
      <c r="F15" s="4">
        <f t="shared" si="2"/>
        <v>0</v>
      </c>
      <c r="G15" s="3">
        <v>96</v>
      </c>
      <c r="H15" s="4">
        <f t="shared" si="3"/>
        <v>0.060075093867334166</v>
      </c>
      <c r="I15" s="10">
        <f t="shared" si="0"/>
        <v>0.03260364764131265</v>
      </c>
      <c r="J15" s="111"/>
      <c r="K15" s="112">
        <f t="shared" si="4"/>
        <v>686.1444101636479</v>
      </c>
      <c r="L15" s="48"/>
    </row>
    <row r="16" spans="1:12" ht="12.75">
      <c r="A16" s="7" t="s">
        <v>567</v>
      </c>
      <c r="B16" s="8" t="s">
        <v>568</v>
      </c>
      <c r="D16" s="4">
        <f t="shared" si="1"/>
        <v>0</v>
      </c>
      <c r="F16" s="4">
        <f t="shared" si="2"/>
        <v>0</v>
      </c>
      <c r="G16" s="3">
        <v>3</v>
      </c>
      <c r="H16" s="4">
        <f t="shared" si="3"/>
        <v>0.0018773466833541927</v>
      </c>
      <c r="I16" s="10">
        <f t="shared" si="0"/>
        <v>0.0006257822277847309</v>
      </c>
      <c r="J16" s="111"/>
      <c r="K16" s="112">
        <f t="shared" si="4"/>
        <v>13.169599374217771</v>
      </c>
      <c r="L16" s="48"/>
    </row>
    <row r="17" spans="1:12" ht="12.75">
      <c r="A17" s="7" t="s">
        <v>101</v>
      </c>
      <c r="B17" s="8" t="s">
        <v>102</v>
      </c>
      <c r="D17" s="4">
        <f t="shared" si="1"/>
        <v>0</v>
      </c>
      <c r="E17" s="3">
        <v>5</v>
      </c>
      <c r="F17" s="4">
        <f t="shared" si="2"/>
        <v>0.028735632183908046</v>
      </c>
      <c r="G17" s="3">
        <v>13</v>
      </c>
      <c r="H17" s="4">
        <f t="shared" si="3"/>
        <v>0.008135168961201502</v>
      </c>
      <c r="I17" s="10">
        <f t="shared" si="0"/>
        <v>0.012290267048369849</v>
      </c>
      <c r="J17" s="111"/>
      <c r="K17" s="112">
        <f t="shared" si="4"/>
        <v>258.648913380231</v>
      </c>
      <c r="L17" s="48"/>
    </row>
    <row r="18" spans="1:12" ht="12.75">
      <c r="A18" s="7" t="s">
        <v>573</v>
      </c>
      <c r="B18" s="8" t="s">
        <v>574</v>
      </c>
      <c r="D18" s="4">
        <f t="shared" si="1"/>
        <v>0</v>
      </c>
      <c r="F18" s="4">
        <f t="shared" si="2"/>
        <v>0</v>
      </c>
      <c r="G18" s="3">
        <v>7</v>
      </c>
      <c r="H18" s="4">
        <f t="shared" si="3"/>
        <v>0.004380475594493116</v>
      </c>
      <c r="I18" s="10">
        <f t="shared" si="0"/>
        <v>0.0014601585314977055</v>
      </c>
      <c r="J18" s="111"/>
      <c r="K18" s="112">
        <f t="shared" si="4"/>
        <v>30.729065206508132</v>
      </c>
      <c r="L18" s="48"/>
    </row>
    <row r="19" spans="1:12" ht="12.75">
      <c r="A19" s="7" t="s">
        <v>103</v>
      </c>
      <c r="B19" s="8" t="s">
        <v>104</v>
      </c>
      <c r="D19" s="4">
        <f t="shared" si="1"/>
        <v>0</v>
      </c>
      <c r="F19" s="4">
        <f t="shared" si="2"/>
        <v>0</v>
      </c>
      <c r="G19" s="3">
        <v>78</v>
      </c>
      <c r="H19" s="4">
        <f t="shared" si="3"/>
        <v>0.04881101376720901</v>
      </c>
      <c r="I19" s="10">
        <f t="shared" si="0"/>
        <v>0.016270337922403004</v>
      </c>
      <c r="J19" s="111"/>
      <c r="K19" s="112">
        <f t="shared" si="4"/>
        <v>342.4095837296621</v>
      </c>
      <c r="L19" s="48"/>
    </row>
    <row r="20" spans="1:12" ht="12.75">
      <c r="A20" s="7" t="s">
        <v>572</v>
      </c>
      <c r="B20" s="8" t="s">
        <v>571</v>
      </c>
      <c r="D20" s="4">
        <f t="shared" si="1"/>
        <v>0</v>
      </c>
      <c r="F20" s="4">
        <f t="shared" si="2"/>
        <v>0</v>
      </c>
      <c r="G20" s="3">
        <v>3</v>
      </c>
      <c r="H20" s="4">
        <f t="shared" si="3"/>
        <v>0.0018773466833541927</v>
      </c>
      <c r="I20" s="10">
        <f t="shared" si="0"/>
        <v>0.0006257822277847309</v>
      </c>
      <c r="J20" s="111"/>
      <c r="K20" s="112">
        <f t="shared" si="4"/>
        <v>13.169599374217771</v>
      </c>
      <c r="L20" s="48"/>
    </row>
    <row r="21" spans="1:12" ht="12.75">
      <c r="A21" s="7" t="s">
        <v>105</v>
      </c>
      <c r="B21" s="8" t="s">
        <v>106</v>
      </c>
      <c r="D21" s="4">
        <f t="shared" si="1"/>
        <v>0</v>
      </c>
      <c r="F21" s="4">
        <f t="shared" si="2"/>
        <v>0</v>
      </c>
      <c r="G21" s="3">
        <v>189</v>
      </c>
      <c r="H21" s="4">
        <f t="shared" si="3"/>
        <v>0.11827284105131414</v>
      </c>
      <c r="I21" s="10">
        <f t="shared" si="0"/>
        <v>0.039424280350438046</v>
      </c>
      <c r="J21" s="111"/>
      <c r="K21" s="112">
        <f t="shared" si="4"/>
        <v>829.6847605757196</v>
      </c>
      <c r="L21" s="48"/>
    </row>
    <row r="22" spans="1:12" ht="13.5" thickBot="1">
      <c r="A22" s="14" t="s">
        <v>107</v>
      </c>
      <c r="B22" s="17"/>
      <c r="C22" s="1">
        <f aca="true" t="shared" si="5" ref="C22:H22">SUM(C7:C21)</f>
        <v>106</v>
      </c>
      <c r="D22" s="15">
        <f t="shared" si="5"/>
        <v>1</v>
      </c>
      <c r="E22" s="1">
        <f t="shared" si="5"/>
        <v>174</v>
      </c>
      <c r="F22" s="15">
        <f t="shared" si="5"/>
        <v>1</v>
      </c>
      <c r="G22" s="1">
        <f t="shared" si="5"/>
        <v>1598</v>
      </c>
      <c r="H22" s="15">
        <f t="shared" si="5"/>
        <v>1</v>
      </c>
      <c r="I22" s="10">
        <f t="shared" si="0"/>
        <v>1</v>
      </c>
      <c r="J22" s="113"/>
      <c r="K22" s="114">
        <f>'FY12 to FY11 Comparison'!K8:L8</f>
        <v>21045.0198</v>
      </c>
      <c r="L22" s="66"/>
    </row>
    <row r="23" spans="2:9" ht="12.75">
      <c r="B23" s="7"/>
      <c r="C23" s="7"/>
      <c r="D23" s="7"/>
      <c r="E23" s="7"/>
      <c r="F23" s="7"/>
      <c r="G23" s="7"/>
      <c r="H23" s="7"/>
      <c r="I23" s="7"/>
    </row>
    <row r="24" spans="2:11" ht="12.75">
      <c r="B24" s="7"/>
      <c r="C24" s="7"/>
      <c r="D24" s="7"/>
      <c r="E24" s="7"/>
      <c r="F24" s="7"/>
      <c r="G24" s="7"/>
      <c r="H24" s="7"/>
      <c r="I24" s="7"/>
      <c r="K24" s="76">
        <f>SUM(K7:K21)</f>
        <v>21045.019800000002</v>
      </c>
    </row>
    <row r="25" spans="2:9" ht="12.75">
      <c r="B25" s="7"/>
      <c r="C25" s="7"/>
      <c r="D25" s="7"/>
      <c r="E25" s="7"/>
      <c r="F25" s="7"/>
      <c r="G25" s="7"/>
      <c r="H25" s="7"/>
      <c r="I25" s="7"/>
    </row>
    <row r="26" spans="2:9" ht="12.75">
      <c r="B26" s="7"/>
      <c r="C26" s="7"/>
      <c r="D26" s="7"/>
      <c r="E26" s="7"/>
      <c r="F26" s="7"/>
      <c r="G26" s="7"/>
      <c r="H26" s="7"/>
      <c r="I26" s="7"/>
    </row>
    <row r="27" spans="2:9" ht="12.75">
      <c r="B27" s="7"/>
      <c r="C27" s="7"/>
      <c r="D27" s="7"/>
      <c r="E27" s="7"/>
      <c r="F27" s="7"/>
      <c r="G27" s="7"/>
      <c r="H27" s="7"/>
      <c r="I27" s="7"/>
    </row>
    <row r="28" spans="2:9" ht="12.75">
      <c r="B28" s="7"/>
      <c r="C28" s="7"/>
      <c r="D28" s="7"/>
      <c r="E28" s="7"/>
      <c r="F28" s="7"/>
      <c r="G28" s="7"/>
      <c r="H28" s="7"/>
      <c r="I28" s="7"/>
    </row>
    <row r="29" spans="2:9" ht="12.75">
      <c r="B29" s="7"/>
      <c r="C29" s="7"/>
      <c r="D29" s="7"/>
      <c r="E29" s="7"/>
      <c r="F29" s="7"/>
      <c r="G29" s="7"/>
      <c r="H29" s="7"/>
      <c r="I29" s="7"/>
    </row>
    <row r="30" spans="2:9" ht="12.75">
      <c r="B30" s="7"/>
      <c r="C30" s="7"/>
      <c r="D30" s="7"/>
      <c r="E30" s="7"/>
      <c r="F30" s="7"/>
      <c r="G30" s="7"/>
      <c r="H30" s="7"/>
      <c r="I30" s="7"/>
    </row>
    <row r="31" spans="2:9" ht="12.75">
      <c r="B31" s="7"/>
      <c r="C31" s="7"/>
      <c r="D31" s="7"/>
      <c r="E31" s="7"/>
      <c r="F31" s="7"/>
      <c r="G31" s="7"/>
      <c r="H31" s="7"/>
      <c r="I31" s="7"/>
    </row>
    <row r="32" spans="2:9" ht="12.75">
      <c r="B32" s="7"/>
      <c r="C32" s="7"/>
      <c r="D32" s="7"/>
      <c r="E32" s="7"/>
      <c r="F32" s="7"/>
      <c r="G32" s="7"/>
      <c r="H32" s="7"/>
      <c r="I32" s="7"/>
    </row>
    <row r="33" spans="2:9" ht="12.75">
      <c r="B33" s="7"/>
      <c r="C33" s="7"/>
      <c r="D33" s="7"/>
      <c r="E33" s="7"/>
      <c r="F33" s="7"/>
      <c r="G33" s="7"/>
      <c r="H33" s="7"/>
      <c r="I33" s="7"/>
    </row>
    <row r="34" spans="2:9" ht="12.75">
      <c r="B34" s="7"/>
      <c r="C34" s="7"/>
      <c r="D34" s="7"/>
      <c r="E34" s="7"/>
      <c r="F34" s="7"/>
      <c r="G34" s="7"/>
      <c r="H34" s="7"/>
      <c r="I34" s="7"/>
    </row>
    <row r="35" spans="2:9" ht="12.75">
      <c r="B35" s="7"/>
      <c r="C35" s="7"/>
      <c r="D35" s="7"/>
      <c r="E35" s="7"/>
      <c r="F35" s="7"/>
      <c r="G35" s="7"/>
      <c r="H35" s="7"/>
      <c r="I35" s="7"/>
    </row>
    <row r="36" spans="2:9" ht="12.75">
      <c r="B36" s="7"/>
      <c r="C36" s="7"/>
      <c r="D36" s="7"/>
      <c r="E36" s="7"/>
      <c r="F36" s="7"/>
      <c r="G36" s="7"/>
      <c r="H36" s="7"/>
      <c r="I36" s="7"/>
    </row>
    <row r="37" spans="2:9" ht="12.75">
      <c r="B37" s="7"/>
      <c r="C37" s="7"/>
      <c r="D37" s="7"/>
      <c r="E37" s="7"/>
      <c r="F37" s="7"/>
      <c r="G37" s="7"/>
      <c r="H37" s="7"/>
      <c r="I37" s="7"/>
    </row>
    <row r="38" spans="2:9" ht="12.75">
      <c r="B38" s="7"/>
      <c r="C38" s="7"/>
      <c r="D38" s="7"/>
      <c r="E38" s="7"/>
      <c r="F38" s="7"/>
      <c r="G38" s="7"/>
      <c r="H38" s="7"/>
      <c r="I38" s="7"/>
    </row>
    <row r="39" spans="2:9" ht="12.75">
      <c r="B39" s="7"/>
      <c r="C39" s="7"/>
      <c r="D39" s="7"/>
      <c r="E39" s="7"/>
      <c r="F39" s="7"/>
      <c r="G39" s="7"/>
      <c r="H39" s="7"/>
      <c r="I39" s="7"/>
    </row>
    <row r="40" spans="2:9" ht="12.75">
      <c r="B40" s="7"/>
      <c r="C40" s="7"/>
      <c r="D40" s="7"/>
      <c r="E40" s="7"/>
      <c r="F40" s="7"/>
      <c r="G40" s="7"/>
      <c r="H40" s="7"/>
      <c r="I40" s="7"/>
    </row>
    <row r="41" spans="2:9" ht="12.75">
      <c r="B41" s="7"/>
      <c r="C41" s="7"/>
      <c r="D41" s="7"/>
      <c r="E41" s="7"/>
      <c r="F41" s="7"/>
      <c r="G41" s="7"/>
      <c r="H41" s="7"/>
      <c r="I41" s="7"/>
    </row>
    <row r="42" spans="2:9" ht="12.75">
      <c r="B42" s="7"/>
      <c r="C42" s="7"/>
      <c r="D42" s="7"/>
      <c r="E42" s="7"/>
      <c r="F42" s="7"/>
      <c r="G42" s="7"/>
      <c r="H42" s="7"/>
      <c r="I42" s="7"/>
    </row>
    <row r="43" spans="2:9" ht="12.75">
      <c r="B43" s="7"/>
      <c r="C43" s="7"/>
      <c r="D43" s="7"/>
      <c r="E43" s="7"/>
      <c r="F43" s="7"/>
      <c r="G43" s="7"/>
      <c r="H43" s="7"/>
      <c r="I43" s="7"/>
    </row>
    <row r="44" spans="2:9" ht="12.75">
      <c r="B44" s="7"/>
      <c r="C44" s="7"/>
      <c r="D44" s="7"/>
      <c r="E44" s="7"/>
      <c r="F44" s="7"/>
      <c r="G44" s="7"/>
      <c r="H44" s="7"/>
      <c r="I44" s="7"/>
    </row>
    <row r="45" spans="2:9" ht="12.75">
      <c r="B45" s="7"/>
      <c r="C45" s="7"/>
      <c r="D45" s="7"/>
      <c r="E45" s="7"/>
      <c r="F45" s="7"/>
      <c r="G45" s="7"/>
      <c r="H45" s="7"/>
      <c r="I45" s="7"/>
    </row>
    <row r="46" spans="2:9" ht="12.75">
      <c r="B46" s="7"/>
      <c r="C46" s="7"/>
      <c r="D46" s="7"/>
      <c r="E46" s="7"/>
      <c r="F46" s="7"/>
      <c r="G46" s="7"/>
      <c r="H46" s="7"/>
      <c r="I46" s="7"/>
    </row>
    <row r="47" spans="2:9" ht="12.75">
      <c r="B47" s="7"/>
      <c r="C47" s="7"/>
      <c r="D47" s="7"/>
      <c r="E47" s="7"/>
      <c r="F47" s="7"/>
      <c r="G47" s="7"/>
      <c r="H47" s="7"/>
      <c r="I47" s="7"/>
    </row>
    <row r="48" spans="2:9" ht="12.75">
      <c r="B48" s="7"/>
      <c r="C48" s="7"/>
      <c r="D48" s="7"/>
      <c r="E48" s="7"/>
      <c r="F48" s="7"/>
      <c r="G48" s="7"/>
      <c r="H48" s="7"/>
      <c r="I48" s="7"/>
    </row>
    <row r="49" spans="2:9" ht="12.75">
      <c r="B49" s="7"/>
      <c r="C49" s="7"/>
      <c r="D49" s="7"/>
      <c r="E49" s="7"/>
      <c r="F49" s="7"/>
      <c r="G49" s="7"/>
      <c r="H49" s="7"/>
      <c r="I49" s="7"/>
    </row>
    <row r="50" spans="2:9" ht="12.75">
      <c r="B50" s="7"/>
      <c r="C50" s="7"/>
      <c r="D50" s="7"/>
      <c r="E50" s="7"/>
      <c r="F50" s="7"/>
      <c r="G50" s="7"/>
      <c r="H50" s="7"/>
      <c r="I50" s="7"/>
    </row>
    <row r="51" spans="2:9" ht="12.75">
      <c r="B51" s="7"/>
      <c r="C51" s="7"/>
      <c r="D51" s="7"/>
      <c r="E51" s="7"/>
      <c r="F51" s="7"/>
      <c r="G51" s="7"/>
      <c r="H51" s="7"/>
      <c r="I51" s="7"/>
    </row>
    <row r="52" spans="2:9" ht="12.75">
      <c r="B52" s="7"/>
      <c r="C52" s="7"/>
      <c r="D52" s="7"/>
      <c r="E52" s="7"/>
      <c r="F52" s="7"/>
      <c r="G52" s="7"/>
      <c r="H52" s="7"/>
      <c r="I52" s="7"/>
    </row>
    <row r="53" spans="2:9" ht="12.75">
      <c r="B53" s="7"/>
      <c r="C53" s="7"/>
      <c r="D53" s="7"/>
      <c r="E53" s="7"/>
      <c r="F53" s="7"/>
      <c r="G53" s="7"/>
      <c r="H53" s="7"/>
      <c r="I53" s="7"/>
    </row>
    <row r="54" spans="2:9" ht="12.75">
      <c r="B54" s="7"/>
      <c r="C54" s="7"/>
      <c r="D54" s="7"/>
      <c r="E54" s="7"/>
      <c r="F54" s="7"/>
      <c r="G54" s="7"/>
      <c r="H54" s="7"/>
      <c r="I54" s="7"/>
    </row>
    <row r="55" spans="2:9" ht="12.75">
      <c r="B55" s="7"/>
      <c r="C55" s="7"/>
      <c r="D55" s="7"/>
      <c r="E55" s="7"/>
      <c r="F55" s="7"/>
      <c r="G55" s="7"/>
      <c r="H55" s="7"/>
      <c r="I55" s="7"/>
    </row>
    <row r="56" spans="2:9" ht="12.75">
      <c r="B56" s="7"/>
      <c r="C56" s="7"/>
      <c r="D56" s="7"/>
      <c r="E56" s="7"/>
      <c r="F56" s="7"/>
      <c r="G56" s="7"/>
      <c r="H56" s="7"/>
      <c r="I56" s="7"/>
    </row>
    <row r="57" spans="2:9" ht="12.75">
      <c r="B57" s="7"/>
      <c r="C57" s="7"/>
      <c r="D57" s="7"/>
      <c r="E57" s="7"/>
      <c r="F57" s="7"/>
      <c r="G57" s="7"/>
      <c r="H57" s="7"/>
      <c r="I57" s="7"/>
    </row>
    <row r="58" spans="2:9" ht="12.75">
      <c r="B58" s="7"/>
      <c r="C58" s="7"/>
      <c r="D58" s="7"/>
      <c r="E58" s="7"/>
      <c r="F58" s="7"/>
      <c r="G58" s="7"/>
      <c r="H58" s="7"/>
      <c r="I58" s="7"/>
    </row>
    <row r="59" spans="2:9" ht="12.75">
      <c r="B59" s="7"/>
      <c r="C59" s="7"/>
      <c r="D59" s="7"/>
      <c r="E59" s="7"/>
      <c r="F59" s="7"/>
      <c r="G59" s="7"/>
      <c r="H59" s="7"/>
      <c r="I59" s="7"/>
    </row>
    <row r="60" spans="2:9" ht="12.75">
      <c r="B60" s="7"/>
      <c r="C60" s="7"/>
      <c r="D60" s="7"/>
      <c r="E60" s="7"/>
      <c r="F60" s="7"/>
      <c r="G60" s="7"/>
      <c r="H60" s="7"/>
      <c r="I60" s="7"/>
    </row>
    <row r="61" spans="2:9" ht="12.75">
      <c r="B61" s="7"/>
      <c r="C61" s="7"/>
      <c r="D61" s="7"/>
      <c r="E61" s="7"/>
      <c r="F61" s="7"/>
      <c r="G61" s="7"/>
      <c r="H61" s="7"/>
      <c r="I61" s="7"/>
    </row>
    <row r="62" spans="2:9" ht="12.75">
      <c r="B62" s="7"/>
      <c r="C62" s="7"/>
      <c r="D62" s="7"/>
      <c r="E62" s="7"/>
      <c r="F62" s="7"/>
      <c r="G62" s="7"/>
      <c r="H62" s="7"/>
      <c r="I62" s="7"/>
    </row>
    <row r="63" spans="2:9" ht="12.75">
      <c r="B63" s="7"/>
      <c r="C63" s="7"/>
      <c r="D63" s="7"/>
      <c r="E63" s="7"/>
      <c r="F63" s="7"/>
      <c r="G63" s="7"/>
      <c r="H63" s="7"/>
      <c r="I63" s="7"/>
    </row>
    <row r="64" spans="2:9" ht="12.75">
      <c r="B64" s="7"/>
      <c r="C64" s="7"/>
      <c r="D64" s="7"/>
      <c r="E64" s="7"/>
      <c r="F64" s="7"/>
      <c r="G64" s="7"/>
      <c r="H64" s="7"/>
      <c r="I64" s="7"/>
    </row>
    <row r="65" spans="2:9" ht="12.75">
      <c r="B65" s="7"/>
      <c r="C65" s="7"/>
      <c r="D65" s="7"/>
      <c r="E65" s="7"/>
      <c r="F65" s="7"/>
      <c r="G65" s="7"/>
      <c r="H65" s="7"/>
      <c r="I65" s="7"/>
    </row>
    <row r="66" spans="2:9" ht="12.75">
      <c r="B66" s="7"/>
      <c r="C66" s="7"/>
      <c r="D66" s="7"/>
      <c r="E66" s="7"/>
      <c r="F66" s="7"/>
      <c r="G66" s="7"/>
      <c r="H66" s="7"/>
      <c r="I66" s="7"/>
    </row>
    <row r="67" spans="2:9" ht="12.75">
      <c r="B67" s="7"/>
      <c r="C67" s="7"/>
      <c r="D67" s="7"/>
      <c r="E67" s="7"/>
      <c r="F67" s="7"/>
      <c r="G67" s="7"/>
      <c r="H67" s="7"/>
      <c r="I67" s="7"/>
    </row>
    <row r="68" spans="2:9" ht="12.75">
      <c r="B68" s="7"/>
      <c r="C68" s="7"/>
      <c r="D68" s="7"/>
      <c r="E68" s="7"/>
      <c r="F68" s="7"/>
      <c r="G68" s="7"/>
      <c r="H68" s="7"/>
      <c r="I68" s="7"/>
    </row>
    <row r="69" spans="2:9" ht="12.75">
      <c r="B69" s="7"/>
      <c r="C69" s="7"/>
      <c r="D69" s="7"/>
      <c r="E69" s="7"/>
      <c r="F69" s="7"/>
      <c r="G69" s="7"/>
      <c r="H69" s="7"/>
      <c r="I69" s="7"/>
    </row>
    <row r="70" spans="2:9" ht="12.75">
      <c r="B70" s="7"/>
      <c r="C70" s="7"/>
      <c r="D70" s="7"/>
      <c r="E70" s="7"/>
      <c r="F70" s="7"/>
      <c r="G70" s="7"/>
      <c r="H70" s="7"/>
      <c r="I70" s="7"/>
    </row>
    <row r="71" spans="2:9" ht="12.75">
      <c r="B71" s="7"/>
      <c r="C71" s="7"/>
      <c r="D71" s="7"/>
      <c r="E71" s="7"/>
      <c r="F71" s="7"/>
      <c r="G71" s="7"/>
      <c r="H71" s="7"/>
      <c r="I71" s="7"/>
    </row>
    <row r="72" spans="2:9" ht="12.75">
      <c r="B72" s="7"/>
      <c r="C72" s="7"/>
      <c r="D72" s="7"/>
      <c r="E72" s="7"/>
      <c r="F72" s="7"/>
      <c r="G72" s="7"/>
      <c r="H72" s="7"/>
      <c r="I72" s="7"/>
    </row>
    <row r="73" spans="2:9" ht="12.75">
      <c r="B73" s="7"/>
      <c r="C73" s="7"/>
      <c r="D73" s="7"/>
      <c r="E73" s="7"/>
      <c r="F73" s="7"/>
      <c r="G73" s="7"/>
      <c r="H73" s="7"/>
      <c r="I73" s="7"/>
    </row>
    <row r="74" spans="2:9" ht="12.75">
      <c r="B74" s="7"/>
      <c r="C74" s="7"/>
      <c r="D74" s="7"/>
      <c r="E74" s="7"/>
      <c r="F74" s="7"/>
      <c r="G74" s="7"/>
      <c r="H74" s="7"/>
      <c r="I74" s="7"/>
    </row>
    <row r="75" spans="2:9" ht="12.75">
      <c r="B75" s="7"/>
      <c r="C75" s="7"/>
      <c r="D75" s="7"/>
      <c r="E75" s="7"/>
      <c r="F75" s="7"/>
      <c r="G75" s="7"/>
      <c r="H75" s="7"/>
      <c r="I75" s="7"/>
    </row>
    <row r="76" spans="2:9" ht="12.75">
      <c r="B76" s="7"/>
      <c r="C76" s="7"/>
      <c r="D76" s="7"/>
      <c r="E76" s="7"/>
      <c r="F76" s="7"/>
      <c r="G76" s="7"/>
      <c r="H76" s="7"/>
      <c r="I76" s="7"/>
    </row>
    <row r="77" spans="2:9" ht="12.75">
      <c r="B77" s="7"/>
      <c r="C77" s="7"/>
      <c r="D77" s="7"/>
      <c r="E77" s="7"/>
      <c r="F77" s="7"/>
      <c r="G77" s="7"/>
      <c r="H77" s="7"/>
      <c r="I77" s="7"/>
    </row>
    <row r="78" spans="2:9" ht="12.75">
      <c r="B78" s="7"/>
      <c r="C78" s="7"/>
      <c r="D78" s="7"/>
      <c r="E78" s="7"/>
      <c r="F78" s="7"/>
      <c r="G78" s="7"/>
      <c r="H78" s="7"/>
      <c r="I78" s="7"/>
    </row>
    <row r="79" spans="2:9" ht="12.75">
      <c r="B79" s="7"/>
      <c r="C79" s="7"/>
      <c r="D79" s="7"/>
      <c r="E79" s="7"/>
      <c r="F79" s="7"/>
      <c r="G79" s="7"/>
      <c r="H79" s="7"/>
      <c r="I79" s="7"/>
    </row>
    <row r="80" spans="2:9" ht="12.75">
      <c r="B80" s="7"/>
      <c r="C80" s="7"/>
      <c r="D80" s="7"/>
      <c r="E80" s="7"/>
      <c r="F80" s="7"/>
      <c r="G80" s="7"/>
      <c r="H80" s="7"/>
      <c r="I80" s="7"/>
    </row>
    <row r="81" spans="2:9" ht="12" customHeight="1">
      <c r="B81" s="7"/>
      <c r="C81" s="7"/>
      <c r="D81" s="7"/>
      <c r="E81" s="7"/>
      <c r="F81" s="7"/>
      <c r="G81" s="7"/>
      <c r="H81" s="7"/>
      <c r="I81" s="7"/>
    </row>
    <row r="82" spans="2:9" ht="12" customHeight="1">
      <c r="B82" s="7"/>
      <c r="C82" s="7"/>
      <c r="D82" s="7"/>
      <c r="E82" s="7"/>
      <c r="F82" s="7"/>
      <c r="G82" s="7"/>
      <c r="H82" s="7"/>
      <c r="I82" s="7"/>
    </row>
    <row r="83" spans="2:9" ht="12" customHeight="1">
      <c r="B83" s="7"/>
      <c r="C83" s="7"/>
      <c r="D83" s="7"/>
      <c r="E83" s="7"/>
      <c r="F83" s="7"/>
      <c r="G83" s="7"/>
      <c r="H83" s="7"/>
      <c r="I83" s="7"/>
    </row>
    <row r="84" spans="2:9" ht="12.75">
      <c r="B84" s="7"/>
      <c r="C84" s="7"/>
      <c r="D84" s="7"/>
      <c r="E84" s="7"/>
      <c r="F84" s="7"/>
      <c r="G84" s="7"/>
      <c r="H84" s="7"/>
      <c r="I84" s="7"/>
    </row>
    <row r="85" spans="2:9" ht="12.75">
      <c r="B85" s="7"/>
      <c r="C85" s="7"/>
      <c r="D85" s="7"/>
      <c r="E85" s="7"/>
      <c r="F85" s="7"/>
      <c r="G85" s="7"/>
      <c r="H85" s="7"/>
      <c r="I85" s="7"/>
    </row>
    <row r="86" spans="2:9" ht="12.75">
      <c r="B86" s="7"/>
      <c r="C86" s="7"/>
      <c r="D86" s="7"/>
      <c r="E86" s="7"/>
      <c r="F86" s="7"/>
      <c r="G86" s="7"/>
      <c r="H86" s="7"/>
      <c r="I86" s="7"/>
    </row>
    <row r="87" spans="2:9" ht="12.75">
      <c r="B87" s="7"/>
      <c r="C87" s="7"/>
      <c r="D87" s="7"/>
      <c r="E87" s="7"/>
      <c r="F87" s="7"/>
      <c r="G87" s="7"/>
      <c r="H87" s="7"/>
      <c r="I87" s="7"/>
    </row>
    <row r="88" spans="2:9" ht="12.75">
      <c r="B88" s="7"/>
      <c r="C88" s="7"/>
      <c r="D88" s="7"/>
      <c r="E88" s="7"/>
      <c r="F88" s="7"/>
      <c r="G88" s="7"/>
      <c r="H88" s="7"/>
      <c r="I88" s="7"/>
    </row>
    <row r="89" spans="2:9" ht="12" customHeight="1">
      <c r="B89" s="7"/>
      <c r="C89" s="7"/>
      <c r="D89" s="7"/>
      <c r="E89" s="7"/>
      <c r="F89" s="7"/>
      <c r="G89" s="7"/>
      <c r="H89" s="7"/>
      <c r="I89" s="7"/>
    </row>
    <row r="90" spans="2:9" ht="12.75">
      <c r="B90" s="7"/>
      <c r="C90" s="7"/>
      <c r="D90" s="7"/>
      <c r="E90" s="7"/>
      <c r="F90" s="7"/>
      <c r="G90" s="7"/>
      <c r="H90" s="7"/>
      <c r="I90" s="7"/>
    </row>
    <row r="91" spans="2:9" ht="12.75">
      <c r="B91" s="7"/>
      <c r="C91" s="7"/>
      <c r="D91" s="7"/>
      <c r="E91" s="7"/>
      <c r="F91" s="7"/>
      <c r="G91" s="7"/>
      <c r="H91" s="7"/>
      <c r="I91" s="7"/>
    </row>
    <row r="92" spans="2:9" ht="12.75">
      <c r="B92" s="7"/>
      <c r="C92" s="7"/>
      <c r="D92" s="7"/>
      <c r="E92" s="7"/>
      <c r="F92" s="7"/>
      <c r="G92" s="7"/>
      <c r="H92" s="7"/>
      <c r="I92" s="7"/>
    </row>
    <row r="93" spans="2:9" ht="12.75">
      <c r="B93" s="7"/>
      <c r="C93" s="7"/>
      <c r="D93" s="7"/>
      <c r="E93" s="7"/>
      <c r="F93" s="7"/>
      <c r="G93" s="7"/>
      <c r="H93" s="7"/>
      <c r="I93" s="7"/>
    </row>
    <row r="94" spans="2:9" ht="12.75">
      <c r="B94" s="7"/>
      <c r="C94" s="7"/>
      <c r="D94" s="7"/>
      <c r="E94" s="7"/>
      <c r="F94" s="7"/>
      <c r="G94" s="7"/>
      <c r="H94" s="7"/>
      <c r="I94" s="7"/>
    </row>
    <row r="95" spans="2:9" ht="12.75">
      <c r="B95" s="7"/>
      <c r="C95" s="7"/>
      <c r="D95" s="7"/>
      <c r="E95" s="7"/>
      <c r="F95" s="7"/>
      <c r="G95" s="7"/>
      <c r="H95" s="7"/>
      <c r="I95" s="7"/>
    </row>
    <row r="96" spans="2:9" ht="12.75">
      <c r="B96" s="7"/>
      <c r="C96" s="7"/>
      <c r="D96" s="7"/>
      <c r="E96" s="7"/>
      <c r="F96" s="7"/>
      <c r="G96" s="7"/>
      <c r="H96" s="7"/>
      <c r="I96" s="7"/>
    </row>
    <row r="97" spans="2:9" ht="12.75">
      <c r="B97" s="7"/>
      <c r="C97" s="7"/>
      <c r="D97" s="7"/>
      <c r="E97" s="7"/>
      <c r="F97" s="7"/>
      <c r="G97" s="7"/>
      <c r="H97" s="7"/>
      <c r="I97" s="7"/>
    </row>
    <row r="98" spans="2:9" ht="12.75">
      <c r="B98" s="7"/>
      <c r="C98" s="7"/>
      <c r="D98" s="7"/>
      <c r="E98" s="7"/>
      <c r="F98" s="7"/>
      <c r="G98" s="7"/>
      <c r="H98" s="7"/>
      <c r="I98" s="7"/>
    </row>
    <row r="99" spans="2:9" ht="12.75">
      <c r="B99" s="7"/>
      <c r="C99" s="7"/>
      <c r="D99" s="7"/>
      <c r="E99" s="7"/>
      <c r="F99" s="7"/>
      <c r="G99" s="7"/>
      <c r="H99" s="7"/>
      <c r="I99" s="7"/>
    </row>
    <row r="100" spans="2:9" ht="12.75">
      <c r="B100" s="7"/>
      <c r="C100" s="7"/>
      <c r="D100" s="7"/>
      <c r="E100" s="7"/>
      <c r="F100" s="7"/>
      <c r="G100" s="7"/>
      <c r="H100" s="7"/>
      <c r="I100" s="7"/>
    </row>
    <row r="101" spans="2:9" ht="12.75">
      <c r="B101" s="7"/>
      <c r="C101" s="7"/>
      <c r="D101" s="7"/>
      <c r="E101" s="7"/>
      <c r="F101" s="7"/>
      <c r="G101" s="7"/>
      <c r="H101" s="7"/>
      <c r="I101" s="7"/>
    </row>
    <row r="102" spans="2:9" ht="12.75">
      <c r="B102" s="7"/>
      <c r="C102" s="7"/>
      <c r="D102" s="7"/>
      <c r="E102" s="7"/>
      <c r="F102" s="7"/>
      <c r="G102" s="7"/>
      <c r="H102" s="7"/>
      <c r="I102" s="7"/>
    </row>
    <row r="103" spans="2:9" ht="12.75">
      <c r="B103" s="7"/>
      <c r="C103" s="7"/>
      <c r="D103" s="7"/>
      <c r="E103" s="7"/>
      <c r="F103" s="7"/>
      <c r="G103" s="7"/>
      <c r="H103" s="7"/>
      <c r="I103" s="7"/>
    </row>
    <row r="104" spans="2:9" ht="12.75">
      <c r="B104" s="7"/>
      <c r="C104" s="7"/>
      <c r="D104" s="7"/>
      <c r="E104" s="7"/>
      <c r="F104" s="7"/>
      <c r="G104" s="7"/>
      <c r="H104" s="7"/>
      <c r="I104" s="7"/>
    </row>
    <row r="105" spans="2:9" ht="12.75">
      <c r="B105" s="7"/>
      <c r="C105" s="7"/>
      <c r="D105" s="7"/>
      <c r="E105" s="7"/>
      <c r="F105" s="7"/>
      <c r="G105" s="7"/>
      <c r="H105" s="7"/>
      <c r="I105" s="7"/>
    </row>
    <row r="106" spans="2:9" ht="12.75">
      <c r="B106" s="7"/>
      <c r="C106" s="7"/>
      <c r="D106" s="7"/>
      <c r="E106" s="7"/>
      <c r="F106" s="7"/>
      <c r="G106" s="7"/>
      <c r="H106" s="7"/>
      <c r="I106" s="7"/>
    </row>
    <row r="107" spans="2:9" ht="12.75">
      <c r="B107" s="7"/>
      <c r="C107" s="7"/>
      <c r="D107" s="7"/>
      <c r="E107" s="7"/>
      <c r="F107" s="7"/>
      <c r="G107" s="7"/>
      <c r="H107" s="7"/>
      <c r="I107" s="7"/>
    </row>
    <row r="108" spans="2:9" ht="12.75">
      <c r="B108" s="7"/>
      <c r="C108" s="7"/>
      <c r="D108" s="7"/>
      <c r="E108" s="7"/>
      <c r="F108" s="7"/>
      <c r="G108" s="7"/>
      <c r="H108" s="7"/>
      <c r="I108" s="7"/>
    </row>
    <row r="109" spans="2:9" ht="12.75">
      <c r="B109" s="7"/>
      <c r="C109" s="7"/>
      <c r="D109" s="7"/>
      <c r="E109" s="7"/>
      <c r="F109" s="7"/>
      <c r="G109" s="7"/>
      <c r="H109" s="7"/>
      <c r="I109" s="7"/>
    </row>
    <row r="110" spans="2:9" ht="12.75">
      <c r="B110" s="7"/>
      <c r="C110" s="7"/>
      <c r="D110" s="7"/>
      <c r="E110" s="7"/>
      <c r="F110" s="7"/>
      <c r="G110" s="7"/>
      <c r="H110" s="7"/>
      <c r="I110" s="7"/>
    </row>
    <row r="111" spans="2:9" ht="12.75">
      <c r="B111" s="7"/>
      <c r="C111" s="7"/>
      <c r="D111" s="7"/>
      <c r="E111" s="7"/>
      <c r="F111" s="7"/>
      <c r="G111" s="7"/>
      <c r="H111" s="7"/>
      <c r="I111" s="7"/>
    </row>
    <row r="112" spans="2:9" ht="12.75">
      <c r="B112" s="7"/>
      <c r="C112" s="7"/>
      <c r="D112" s="7"/>
      <c r="E112" s="7"/>
      <c r="F112" s="7"/>
      <c r="G112" s="7"/>
      <c r="H112" s="7"/>
      <c r="I112" s="7"/>
    </row>
    <row r="113" spans="2:9" ht="12.75">
      <c r="B113" s="7"/>
      <c r="C113" s="7"/>
      <c r="D113" s="7"/>
      <c r="E113" s="7"/>
      <c r="F113" s="7"/>
      <c r="G113" s="7"/>
      <c r="H113" s="7"/>
      <c r="I113" s="7"/>
    </row>
    <row r="114" spans="2:9" ht="12.75">
      <c r="B114" s="7"/>
      <c r="C114" s="7"/>
      <c r="D114" s="7"/>
      <c r="E114" s="7"/>
      <c r="F114" s="7"/>
      <c r="G114" s="7"/>
      <c r="H114" s="7"/>
      <c r="I114" s="7"/>
    </row>
    <row r="115" spans="2:9" ht="12.75">
      <c r="B115" s="7"/>
      <c r="C115" s="7"/>
      <c r="D115" s="7"/>
      <c r="E115" s="7"/>
      <c r="F115" s="7"/>
      <c r="G115" s="7"/>
      <c r="H115" s="7"/>
      <c r="I115" s="7"/>
    </row>
    <row r="116" spans="2:9" ht="12.75">
      <c r="B116" s="7"/>
      <c r="C116" s="7"/>
      <c r="D116" s="7"/>
      <c r="E116" s="7"/>
      <c r="F116" s="7"/>
      <c r="G116" s="7"/>
      <c r="H116" s="7"/>
      <c r="I116" s="7"/>
    </row>
    <row r="117" spans="2:9" ht="12" customHeight="1">
      <c r="B117" s="7"/>
      <c r="C117" s="7"/>
      <c r="D117" s="7"/>
      <c r="E117" s="7"/>
      <c r="F117" s="7"/>
      <c r="G117" s="7"/>
      <c r="H117" s="7"/>
      <c r="I117" s="7"/>
    </row>
    <row r="118" spans="2:9" ht="12.75">
      <c r="B118" s="7"/>
      <c r="C118" s="7"/>
      <c r="D118" s="7"/>
      <c r="E118" s="7"/>
      <c r="F118" s="7"/>
      <c r="G118" s="7"/>
      <c r="H118" s="7"/>
      <c r="I118" s="7"/>
    </row>
    <row r="119" spans="2:9" ht="12.75">
      <c r="B119" s="7"/>
      <c r="C119" s="7"/>
      <c r="D119" s="7"/>
      <c r="E119" s="7"/>
      <c r="F119" s="7"/>
      <c r="G119" s="7"/>
      <c r="H119" s="7"/>
      <c r="I119" s="7"/>
    </row>
    <row r="120" spans="2:9" ht="12.75">
      <c r="B120" s="7"/>
      <c r="C120" s="7"/>
      <c r="D120" s="7"/>
      <c r="E120" s="7"/>
      <c r="F120" s="7"/>
      <c r="G120" s="7"/>
      <c r="H120" s="7"/>
      <c r="I120" s="7"/>
    </row>
    <row r="121" spans="2:9" ht="12.75">
      <c r="B121" s="7"/>
      <c r="C121" s="7"/>
      <c r="D121" s="7"/>
      <c r="E121" s="7"/>
      <c r="F121" s="7"/>
      <c r="G121" s="7"/>
      <c r="H121" s="7"/>
      <c r="I121" s="7"/>
    </row>
    <row r="122" spans="2:9" ht="12.75">
      <c r="B122" s="7"/>
      <c r="C122" s="7"/>
      <c r="D122" s="7"/>
      <c r="E122" s="7"/>
      <c r="F122" s="7"/>
      <c r="G122" s="7"/>
      <c r="H122" s="7"/>
      <c r="I122" s="7"/>
    </row>
    <row r="123" spans="2:9" ht="12.75">
      <c r="B123" s="7"/>
      <c r="C123" s="7"/>
      <c r="D123" s="7"/>
      <c r="E123" s="7"/>
      <c r="F123" s="7"/>
      <c r="G123" s="7"/>
      <c r="H123" s="7"/>
      <c r="I123" s="7"/>
    </row>
    <row r="124" spans="2:9" ht="12.75">
      <c r="B124" s="7"/>
      <c r="C124" s="7"/>
      <c r="D124" s="7"/>
      <c r="E124" s="7"/>
      <c r="F124" s="7"/>
      <c r="G124" s="7"/>
      <c r="H124" s="7"/>
      <c r="I124" s="7"/>
    </row>
    <row r="125" spans="2:9" ht="12.75">
      <c r="B125" s="7"/>
      <c r="C125" s="7"/>
      <c r="D125" s="7"/>
      <c r="E125" s="7"/>
      <c r="F125" s="7"/>
      <c r="G125" s="7"/>
      <c r="H125" s="7"/>
      <c r="I125" s="7"/>
    </row>
    <row r="126" spans="2:9" ht="12.75">
      <c r="B126" s="7"/>
      <c r="C126" s="7"/>
      <c r="D126" s="7"/>
      <c r="E126" s="7"/>
      <c r="F126" s="7"/>
      <c r="G126" s="7"/>
      <c r="H126" s="7"/>
      <c r="I126" s="7"/>
    </row>
    <row r="127" spans="2:9" ht="12.75">
      <c r="B127" s="7"/>
      <c r="C127" s="7"/>
      <c r="D127" s="7"/>
      <c r="E127" s="7"/>
      <c r="F127" s="7"/>
      <c r="G127" s="7"/>
      <c r="H127" s="7"/>
      <c r="I127" s="7"/>
    </row>
    <row r="128" spans="2:9" ht="12.75">
      <c r="B128" s="7"/>
      <c r="C128" s="7"/>
      <c r="D128" s="7"/>
      <c r="E128" s="7"/>
      <c r="F128" s="7"/>
      <c r="G128" s="7"/>
      <c r="H128" s="7"/>
      <c r="I128" s="7"/>
    </row>
    <row r="129" spans="2:9" ht="12.75">
      <c r="B129" s="7"/>
      <c r="C129" s="7"/>
      <c r="D129" s="7"/>
      <c r="E129" s="7"/>
      <c r="F129" s="7"/>
      <c r="G129" s="7"/>
      <c r="H129" s="7"/>
      <c r="I129" s="7"/>
    </row>
    <row r="130" spans="2:9" ht="12.75">
      <c r="B130" s="7"/>
      <c r="C130" s="7"/>
      <c r="D130" s="7"/>
      <c r="E130" s="7"/>
      <c r="F130" s="7"/>
      <c r="G130" s="7"/>
      <c r="H130" s="7"/>
      <c r="I130" s="7"/>
    </row>
    <row r="131" spans="2:9" ht="12.75">
      <c r="B131" s="7"/>
      <c r="C131" s="7"/>
      <c r="D131" s="7"/>
      <c r="E131" s="7"/>
      <c r="F131" s="7"/>
      <c r="G131" s="7"/>
      <c r="H131" s="7"/>
      <c r="I131" s="7"/>
    </row>
    <row r="132" spans="2:9" ht="12.75">
      <c r="B132" s="7"/>
      <c r="C132" s="7"/>
      <c r="D132" s="7"/>
      <c r="E132" s="7"/>
      <c r="F132" s="7"/>
      <c r="G132" s="7"/>
      <c r="H132" s="7"/>
      <c r="I132" s="7"/>
    </row>
    <row r="133" spans="2:9" ht="12.75">
      <c r="B133" s="7"/>
      <c r="C133" s="7"/>
      <c r="D133" s="7"/>
      <c r="E133" s="7"/>
      <c r="F133" s="7"/>
      <c r="G133" s="7"/>
      <c r="H133" s="7"/>
      <c r="I133" s="7"/>
    </row>
    <row r="134" spans="2:9" ht="12.75">
      <c r="B134" s="7"/>
      <c r="C134" s="7"/>
      <c r="D134" s="7"/>
      <c r="E134" s="7"/>
      <c r="F134" s="7"/>
      <c r="G134" s="7"/>
      <c r="H134" s="7"/>
      <c r="I134" s="7"/>
    </row>
    <row r="135" spans="2:9" ht="12.75">
      <c r="B135" s="7"/>
      <c r="C135" s="7"/>
      <c r="D135" s="7"/>
      <c r="E135" s="7"/>
      <c r="F135" s="7"/>
      <c r="G135" s="7"/>
      <c r="H135" s="7"/>
      <c r="I135" s="7"/>
    </row>
    <row r="136" spans="2:9" ht="12.75">
      <c r="B136" s="7"/>
      <c r="C136" s="7"/>
      <c r="D136" s="7"/>
      <c r="E136" s="7"/>
      <c r="F136" s="7"/>
      <c r="G136" s="7"/>
      <c r="H136" s="7"/>
      <c r="I136" s="7"/>
    </row>
    <row r="137" spans="2:9" ht="12.75">
      <c r="B137" s="7"/>
      <c r="C137" s="7"/>
      <c r="D137" s="7"/>
      <c r="E137" s="7"/>
      <c r="F137" s="7"/>
      <c r="G137" s="7"/>
      <c r="H137" s="7"/>
      <c r="I137" s="7"/>
    </row>
    <row r="138" spans="2:9" ht="12.75">
      <c r="B138" s="7"/>
      <c r="C138" s="7"/>
      <c r="D138" s="7"/>
      <c r="E138" s="7"/>
      <c r="F138" s="7"/>
      <c r="G138" s="7"/>
      <c r="H138" s="7"/>
      <c r="I138" s="7"/>
    </row>
    <row r="139" spans="2:9" ht="12.75">
      <c r="B139" s="7"/>
      <c r="C139" s="7"/>
      <c r="D139" s="7"/>
      <c r="E139" s="7"/>
      <c r="F139" s="7"/>
      <c r="G139" s="7"/>
      <c r="H139" s="7"/>
      <c r="I139" s="7"/>
    </row>
    <row r="140" spans="2:9" ht="12.75">
      <c r="B140" s="7"/>
      <c r="C140" s="7"/>
      <c r="D140" s="7"/>
      <c r="E140" s="7"/>
      <c r="F140" s="7"/>
      <c r="G140" s="7"/>
      <c r="H140" s="7"/>
      <c r="I140" s="7"/>
    </row>
    <row r="141" spans="2:9" ht="12.75">
      <c r="B141" s="7"/>
      <c r="C141" s="7"/>
      <c r="D141" s="7"/>
      <c r="E141" s="7"/>
      <c r="F141" s="7"/>
      <c r="G141" s="7"/>
      <c r="H141" s="7"/>
      <c r="I141" s="7"/>
    </row>
    <row r="142" spans="2:9" ht="12.75">
      <c r="B142" s="7"/>
      <c r="C142" s="7"/>
      <c r="D142" s="7"/>
      <c r="E142" s="7"/>
      <c r="F142" s="7"/>
      <c r="G142" s="7"/>
      <c r="H142" s="7"/>
      <c r="I142" s="7"/>
    </row>
    <row r="143" spans="2:9" ht="12.75">
      <c r="B143" s="7"/>
      <c r="C143" s="7"/>
      <c r="D143" s="7"/>
      <c r="E143" s="7"/>
      <c r="F143" s="7"/>
      <c r="G143" s="7"/>
      <c r="H143" s="7"/>
      <c r="I143" s="7"/>
    </row>
    <row r="144" spans="2:9" ht="12.75">
      <c r="B144" s="7"/>
      <c r="C144" s="7"/>
      <c r="D144" s="7"/>
      <c r="E144" s="7"/>
      <c r="F144" s="7"/>
      <c r="G144" s="7"/>
      <c r="H144" s="7"/>
      <c r="I144" s="7"/>
    </row>
    <row r="145" spans="2:9" ht="12.75">
      <c r="B145" s="7"/>
      <c r="C145" s="7"/>
      <c r="D145" s="7"/>
      <c r="E145" s="7"/>
      <c r="F145" s="7"/>
      <c r="G145" s="7"/>
      <c r="H145" s="7"/>
      <c r="I145" s="7"/>
    </row>
    <row r="146" spans="2:9" ht="12.75">
      <c r="B146" s="7"/>
      <c r="C146" s="7"/>
      <c r="D146" s="7"/>
      <c r="E146" s="7"/>
      <c r="F146" s="7"/>
      <c r="G146" s="7"/>
      <c r="H146" s="7"/>
      <c r="I146" s="7"/>
    </row>
    <row r="147" spans="2:9" ht="12.75">
      <c r="B147" s="7"/>
      <c r="C147" s="7"/>
      <c r="D147" s="7"/>
      <c r="E147" s="7"/>
      <c r="F147" s="7"/>
      <c r="G147" s="7"/>
      <c r="H147" s="7"/>
      <c r="I147" s="7"/>
    </row>
    <row r="148" spans="2:9" ht="12.75">
      <c r="B148" s="7"/>
      <c r="C148" s="7"/>
      <c r="D148" s="7"/>
      <c r="E148" s="7"/>
      <c r="F148" s="7"/>
      <c r="G148" s="7"/>
      <c r="H148" s="7"/>
      <c r="I148" s="7"/>
    </row>
    <row r="149" spans="2:9" ht="12.75">
      <c r="B149" s="7"/>
      <c r="C149" s="7"/>
      <c r="D149" s="7"/>
      <c r="E149" s="7"/>
      <c r="F149" s="7"/>
      <c r="G149" s="7"/>
      <c r="H149" s="7"/>
      <c r="I149" s="7"/>
    </row>
    <row r="150" spans="2:9" ht="12.75">
      <c r="B150" s="7"/>
      <c r="C150" s="7"/>
      <c r="D150" s="7"/>
      <c r="E150" s="7"/>
      <c r="F150" s="7"/>
      <c r="G150" s="7"/>
      <c r="H150" s="7"/>
      <c r="I150" s="7"/>
    </row>
    <row r="151" spans="2:9" ht="12.75">
      <c r="B151" s="7"/>
      <c r="C151" s="7"/>
      <c r="D151" s="7"/>
      <c r="E151" s="7"/>
      <c r="F151" s="7"/>
      <c r="G151" s="7"/>
      <c r="H151" s="7"/>
      <c r="I151" s="7"/>
    </row>
    <row r="152" spans="2:9" ht="12.75">
      <c r="B152" s="7"/>
      <c r="C152" s="7"/>
      <c r="D152" s="7"/>
      <c r="E152" s="7"/>
      <c r="F152" s="7"/>
      <c r="G152" s="7"/>
      <c r="H152" s="7"/>
      <c r="I152" s="7"/>
    </row>
    <row r="153" spans="2:9" ht="12.75">
      <c r="B153" s="7"/>
      <c r="C153" s="7"/>
      <c r="D153" s="7"/>
      <c r="E153" s="7"/>
      <c r="F153" s="7"/>
      <c r="G153" s="7"/>
      <c r="H153" s="7"/>
      <c r="I153" s="7"/>
    </row>
    <row r="154" spans="2:9" ht="12.75">
      <c r="B154" s="7"/>
      <c r="C154" s="7"/>
      <c r="D154" s="7"/>
      <c r="E154" s="7"/>
      <c r="F154" s="7"/>
      <c r="G154" s="7"/>
      <c r="H154" s="7"/>
      <c r="I154" s="7"/>
    </row>
    <row r="155" spans="2:9" ht="12.75">
      <c r="B155" s="7"/>
      <c r="C155" s="7"/>
      <c r="D155" s="7"/>
      <c r="E155" s="7"/>
      <c r="F155" s="7"/>
      <c r="G155" s="7"/>
      <c r="H155" s="7"/>
      <c r="I155" s="7"/>
    </row>
    <row r="156" spans="2:9" ht="12.75">
      <c r="B156" s="7"/>
      <c r="C156" s="7"/>
      <c r="D156" s="7"/>
      <c r="E156" s="7"/>
      <c r="F156" s="7"/>
      <c r="G156" s="7"/>
      <c r="H156" s="7"/>
      <c r="I156" s="7"/>
    </row>
    <row r="157" spans="2:9" ht="12.75">
      <c r="B157" s="7"/>
      <c r="C157" s="7"/>
      <c r="D157" s="7"/>
      <c r="E157" s="7"/>
      <c r="F157" s="7"/>
      <c r="G157" s="7"/>
      <c r="H157" s="7"/>
      <c r="I157" s="7"/>
    </row>
    <row r="158" spans="2:9" ht="12.75">
      <c r="B158" s="7"/>
      <c r="C158" s="7"/>
      <c r="D158" s="7"/>
      <c r="E158" s="7"/>
      <c r="F158" s="7"/>
      <c r="G158" s="7"/>
      <c r="H158" s="7"/>
      <c r="I158" s="7"/>
    </row>
    <row r="159" spans="2:9" ht="12.75">
      <c r="B159" s="7"/>
      <c r="C159" s="7"/>
      <c r="D159" s="7"/>
      <c r="E159" s="7"/>
      <c r="F159" s="7"/>
      <c r="G159" s="7"/>
      <c r="H159" s="7"/>
      <c r="I159" s="7"/>
    </row>
    <row r="160" spans="2:9" ht="12.75">
      <c r="B160" s="7"/>
      <c r="C160" s="7"/>
      <c r="D160" s="7"/>
      <c r="E160" s="7"/>
      <c r="F160" s="7"/>
      <c r="G160" s="7"/>
      <c r="H160" s="7"/>
      <c r="I160" s="7"/>
    </row>
    <row r="161" spans="2:9" ht="12.75">
      <c r="B161" s="7"/>
      <c r="C161" s="7"/>
      <c r="D161" s="7"/>
      <c r="E161" s="7"/>
      <c r="F161" s="7"/>
      <c r="G161" s="7"/>
      <c r="H161" s="7"/>
      <c r="I161" s="7"/>
    </row>
    <row r="162" spans="2:9" ht="12.75">
      <c r="B162" s="7"/>
      <c r="C162" s="7"/>
      <c r="D162" s="7"/>
      <c r="E162" s="7"/>
      <c r="F162" s="7"/>
      <c r="G162" s="7"/>
      <c r="H162" s="7"/>
      <c r="I162" s="7"/>
    </row>
    <row r="163" spans="2:9" ht="12.75">
      <c r="B163" s="7"/>
      <c r="C163" s="7"/>
      <c r="D163" s="7"/>
      <c r="E163" s="7"/>
      <c r="F163" s="7"/>
      <c r="G163" s="7"/>
      <c r="H163" s="7"/>
      <c r="I163" s="7"/>
    </row>
    <row r="164" spans="2:9" ht="12.75">
      <c r="B164" s="7"/>
      <c r="C164" s="7"/>
      <c r="D164" s="7"/>
      <c r="E164" s="7"/>
      <c r="F164" s="7"/>
      <c r="G164" s="7"/>
      <c r="H164" s="7"/>
      <c r="I164" s="7"/>
    </row>
    <row r="165" spans="2:9" ht="12.75">
      <c r="B165" s="7"/>
      <c r="C165" s="7"/>
      <c r="D165" s="7"/>
      <c r="E165" s="7"/>
      <c r="F165" s="7"/>
      <c r="G165" s="7"/>
      <c r="H165" s="7"/>
      <c r="I165" s="7"/>
    </row>
    <row r="166" spans="2:9" ht="12.75">
      <c r="B166" s="7"/>
      <c r="C166" s="7"/>
      <c r="D166" s="7"/>
      <c r="E166" s="7"/>
      <c r="F166" s="7"/>
      <c r="G166" s="7"/>
      <c r="H166" s="7"/>
      <c r="I166" s="7"/>
    </row>
    <row r="167" spans="2:9" ht="12.75">
      <c r="B167" s="7"/>
      <c r="C167" s="7"/>
      <c r="D167" s="7"/>
      <c r="E167" s="7"/>
      <c r="F167" s="7"/>
      <c r="G167" s="7"/>
      <c r="H167" s="7"/>
      <c r="I167" s="7"/>
    </row>
    <row r="168" spans="2:9" ht="12.75">
      <c r="B168" s="7"/>
      <c r="C168" s="7"/>
      <c r="D168" s="7"/>
      <c r="E168" s="7"/>
      <c r="F168" s="7"/>
      <c r="G168" s="7"/>
      <c r="H168" s="7"/>
      <c r="I168" s="7"/>
    </row>
    <row r="169" spans="2:9" ht="12.75">
      <c r="B169" s="7"/>
      <c r="C169" s="7"/>
      <c r="D169" s="7"/>
      <c r="E169" s="7"/>
      <c r="F169" s="7"/>
      <c r="G169" s="7"/>
      <c r="H169" s="7"/>
      <c r="I169" s="7"/>
    </row>
    <row r="170" spans="2:9" ht="12.75">
      <c r="B170" s="7"/>
      <c r="C170" s="7"/>
      <c r="D170" s="7"/>
      <c r="E170" s="7"/>
      <c r="F170" s="7"/>
      <c r="G170" s="7"/>
      <c r="H170" s="7"/>
      <c r="I170" s="7"/>
    </row>
    <row r="171" spans="2:9" ht="12.75">
      <c r="B171" s="7"/>
      <c r="C171" s="7"/>
      <c r="D171" s="7"/>
      <c r="E171" s="7"/>
      <c r="F171" s="7"/>
      <c r="G171" s="7"/>
      <c r="H171" s="7"/>
      <c r="I171" s="7"/>
    </row>
    <row r="172" spans="2:9" ht="12.75">
      <c r="B172" s="7"/>
      <c r="C172" s="7"/>
      <c r="D172" s="7"/>
      <c r="E172" s="7"/>
      <c r="F172" s="7"/>
      <c r="G172" s="7"/>
      <c r="H172" s="7"/>
      <c r="I172" s="7"/>
    </row>
    <row r="173" spans="2:9" ht="12.75">
      <c r="B173" s="7"/>
      <c r="C173" s="7"/>
      <c r="D173" s="7"/>
      <c r="E173" s="7"/>
      <c r="F173" s="7"/>
      <c r="G173" s="7"/>
      <c r="H173" s="7"/>
      <c r="I173" s="7"/>
    </row>
    <row r="174" spans="2:9" ht="12.75">
      <c r="B174" s="7"/>
      <c r="C174" s="7"/>
      <c r="D174" s="7"/>
      <c r="E174" s="7"/>
      <c r="F174" s="7"/>
      <c r="G174" s="7"/>
      <c r="H174" s="7"/>
      <c r="I174" s="7"/>
    </row>
    <row r="175" spans="2:9" ht="12.75">
      <c r="B175" s="7"/>
      <c r="C175" s="7"/>
      <c r="D175" s="7"/>
      <c r="E175" s="7"/>
      <c r="F175" s="7"/>
      <c r="G175" s="7"/>
      <c r="H175" s="7"/>
      <c r="I175" s="7"/>
    </row>
    <row r="176" spans="2:9" ht="12.75">
      <c r="B176" s="7"/>
      <c r="C176" s="7"/>
      <c r="D176" s="7"/>
      <c r="E176" s="7"/>
      <c r="F176" s="7"/>
      <c r="G176" s="7"/>
      <c r="H176" s="7"/>
      <c r="I176" s="7"/>
    </row>
    <row r="177" spans="2:9" ht="12.75">
      <c r="B177" s="7"/>
      <c r="C177" s="7"/>
      <c r="D177" s="7"/>
      <c r="E177" s="7"/>
      <c r="F177" s="7"/>
      <c r="G177" s="7"/>
      <c r="H177" s="7"/>
      <c r="I177" s="7"/>
    </row>
    <row r="178" spans="2:9" ht="12.75">
      <c r="B178" s="7"/>
      <c r="C178" s="7"/>
      <c r="D178" s="7"/>
      <c r="E178" s="7"/>
      <c r="F178" s="7"/>
      <c r="G178" s="7"/>
      <c r="H178" s="7"/>
      <c r="I178" s="7"/>
    </row>
    <row r="179" spans="2:9" ht="12.75">
      <c r="B179" s="7"/>
      <c r="C179" s="7"/>
      <c r="D179" s="7"/>
      <c r="E179" s="7"/>
      <c r="F179" s="7"/>
      <c r="G179" s="7"/>
      <c r="H179" s="7"/>
      <c r="I179" s="7"/>
    </row>
    <row r="180" spans="2:9" ht="12.75">
      <c r="B180" s="7"/>
      <c r="C180" s="7"/>
      <c r="D180" s="7"/>
      <c r="E180" s="7"/>
      <c r="F180" s="7"/>
      <c r="G180" s="7"/>
      <c r="H180" s="7"/>
      <c r="I180" s="7"/>
    </row>
    <row r="181" spans="2:9" ht="12.75">
      <c r="B181" s="7"/>
      <c r="C181" s="7"/>
      <c r="D181" s="7"/>
      <c r="E181" s="7"/>
      <c r="F181" s="7"/>
      <c r="G181" s="7"/>
      <c r="H181" s="7"/>
      <c r="I181" s="7"/>
    </row>
    <row r="182" spans="2:9" ht="12.75">
      <c r="B182" s="7"/>
      <c r="C182" s="7"/>
      <c r="D182" s="7"/>
      <c r="E182" s="7"/>
      <c r="F182" s="7"/>
      <c r="G182" s="7"/>
      <c r="H182" s="7"/>
      <c r="I182" s="7"/>
    </row>
    <row r="183" spans="2:9" ht="12.75">
      <c r="B183" s="7"/>
      <c r="C183" s="7"/>
      <c r="D183" s="7"/>
      <c r="E183" s="7"/>
      <c r="F183" s="7"/>
      <c r="G183" s="7"/>
      <c r="H183" s="7"/>
      <c r="I183" s="7"/>
    </row>
    <row r="184" spans="2:9" ht="12.75">
      <c r="B184" s="7"/>
      <c r="C184" s="7"/>
      <c r="D184" s="7"/>
      <c r="E184" s="7"/>
      <c r="F184" s="7"/>
      <c r="G184" s="7"/>
      <c r="H184" s="7"/>
      <c r="I184" s="7"/>
    </row>
    <row r="185" spans="2:9" ht="12.75">
      <c r="B185" s="7"/>
      <c r="C185" s="7"/>
      <c r="D185" s="7"/>
      <c r="E185" s="7"/>
      <c r="F185" s="7"/>
      <c r="G185" s="7"/>
      <c r="H185" s="7"/>
      <c r="I185" s="7"/>
    </row>
    <row r="186" spans="2:9" ht="12.75">
      <c r="B186" s="7"/>
      <c r="C186" s="7"/>
      <c r="D186" s="7"/>
      <c r="E186" s="7"/>
      <c r="F186" s="7"/>
      <c r="G186" s="7"/>
      <c r="H186" s="7"/>
      <c r="I186" s="7"/>
    </row>
    <row r="187" spans="2:9" ht="12.75">
      <c r="B187" s="7"/>
      <c r="C187" s="7"/>
      <c r="D187" s="7"/>
      <c r="E187" s="7"/>
      <c r="F187" s="7"/>
      <c r="G187" s="7"/>
      <c r="H187" s="7"/>
      <c r="I187" s="7"/>
    </row>
    <row r="188" spans="2:9" ht="12.75">
      <c r="B188" s="7"/>
      <c r="C188" s="7"/>
      <c r="D188" s="7"/>
      <c r="E188" s="7"/>
      <c r="F188" s="7"/>
      <c r="G188" s="7"/>
      <c r="H188" s="7"/>
      <c r="I188" s="7"/>
    </row>
    <row r="189" spans="2:9" ht="12.75">
      <c r="B189" s="7"/>
      <c r="C189" s="7"/>
      <c r="D189" s="7"/>
      <c r="E189" s="7"/>
      <c r="F189" s="7"/>
      <c r="G189" s="7"/>
      <c r="H189" s="7"/>
      <c r="I189" s="7"/>
    </row>
    <row r="190" spans="2:9" ht="12.75">
      <c r="B190" s="7"/>
      <c r="C190" s="7"/>
      <c r="D190" s="7"/>
      <c r="E190" s="7"/>
      <c r="F190" s="7"/>
      <c r="G190" s="7"/>
      <c r="H190" s="7"/>
      <c r="I190" s="7"/>
    </row>
    <row r="191" spans="2:9" ht="12.75">
      <c r="B191" s="7"/>
      <c r="C191" s="7"/>
      <c r="D191" s="7"/>
      <c r="E191" s="7"/>
      <c r="F191" s="7"/>
      <c r="G191" s="7"/>
      <c r="H191" s="7"/>
      <c r="I191" s="7"/>
    </row>
    <row r="192" spans="2:9" ht="12.75">
      <c r="B192" s="7"/>
      <c r="C192" s="7"/>
      <c r="D192" s="7"/>
      <c r="E192" s="7"/>
      <c r="F192" s="7"/>
      <c r="G192" s="7"/>
      <c r="H192" s="7"/>
      <c r="I192" s="7"/>
    </row>
    <row r="193" spans="2:9" ht="12.75">
      <c r="B193" s="7"/>
      <c r="C193" s="7"/>
      <c r="D193" s="7"/>
      <c r="E193" s="7"/>
      <c r="F193" s="7"/>
      <c r="G193" s="7"/>
      <c r="H193" s="7"/>
      <c r="I193" s="7"/>
    </row>
    <row r="194" spans="2:9" ht="12.75">
      <c r="B194" s="7"/>
      <c r="C194" s="7"/>
      <c r="D194" s="7"/>
      <c r="E194" s="7"/>
      <c r="F194" s="7"/>
      <c r="G194" s="7"/>
      <c r="H194" s="7"/>
      <c r="I194" s="7"/>
    </row>
    <row r="195" spans="2:9" ht="12.75">
      <c r="B195" s="7"/>
      <c r="C195" s="7"/>
      <c r="D195" s="7"/>
      <c r="E195" s="7"/>
      <c r="F195" s="7"/>
      <c r="G195" s="7"/>
      <c r="H195" s="7"/>
      <c r="I195" s="7"/>
    </row>
    <row r="196" spans="2:9" ht="12.75">
      <c r="B196" s="7"/>
      <c r="C196" s="7"/>
      <c r="D196" s="7"/>
      <c r="E196" s="7"/>
      <c r="F196" s="7"/>
      <c r="G196" s="7"/>
      <c r="H196" s="7"/>
      <c r="I196" s="7"/>
    </row>
    <row r="197" spans="2:9" ht="12.75">
      <c r="B197" s="7"/>
      <c r="C197" s="7"/>
      <c r="D197" s="7"/>
      <c r="E197" s="7"/>
      <c r="F197" s="7"/>
      <c r="G197" s="7"/>
      <c r="H197" s="7"/>
      <c r="I197" s="7"/>
    </row>
    <row r="198" spans="2:9" ht="12.75">
      <c r="B198" s="7"/>
      <c r="C198" s="7"/>
      <c r="D198" s="7"/>
      <c r="E198" s="7"/>
      <c r="F198" s="7"/>
      <c r="G198" s="7"/>
      <c r="H198" s="7"/>
      <c r="I198" s="7"/>
    </row>
    <row r="199" spans="2:9" ht="12.75">
      <c r="B199" s="7"/>
      <c r="C199" s="7"/>
      <c r="D199" s="7"/>
      <c r="E199" s="7"/>
      <c r="F199" s="7"/>
      <c r="G199" s="7"/>
      <c r="H199" s="7"/>
      <c r="I199" s="7"/>
    </row>
    <row r="200" spans="2:9" ht="12.75">
      <c r="B200" s="7"/>
      <c r="C200" s="7"/>
      <c r="D200" s="7"/>
      <c r="E200" s="7"/>
      <c r="F200" s="7"/>
      <c r="G200" s="7"/>
      <c r="H200" s="7"/>
      <c r="I200" s="7"/>
    </row>
    <row r="201" spans="2:9" ht="12.75">
      <c r="B201" s="7"/>
      <c r="C201" s="7"/>
      <c r="D201" s="7"/>
      <c r="E201" s="7"/>
      <c r="F201" s="7"/>
      <c r="G201" s="7"/>
      <c r="H201" s="7"/>
      <c r="I201" s="7"/>
    </row>
    <row r="202" spans="2:9" ht="12.75">
      <c r="B202" s="7"/>
      <c r="C202" s="7"/>
      <c r="D202" s="7"/>
      <c r="E202" s="7"/>
      <c r="F202" s="7"/>
      <c r="G202" s="7"/>
      <c r="H202" s="7"/>
      <c r="I202" s="7"/>
    </row>
    <row r="203" spans="2:9" ht="12.75">
      <c r="B203" s="7"/>
      <c r="C203" s="7"/>
      <c r="D203" s="7"/>
      <c r="E203" s="7"/>
      <c r="F203" s="7"/>
      <c r="G203" s="7"/>
      <c r="H203" s="7"/>
      <c r="I203" s="7"/>
    </row>
    <row r="204" spans="2:9" ht="12.75">
      <c r="B204" s="7"/>
      <c r="C204" s="7"/>
      <c r="D204" s="7"/>
      <c r="E204" s="7"/>
      <c r="F204" s="7"/>
      <c r="G204" s="7"/>
      <c r="H204" s="7"/>
      <c r="I204" s="7"/>
    </row>
    <row r="205" spans="2:9" ht="12.75">
      <c r="B205" s="7"/>
      <c r="C205" s="7"/>
      <c r="D205" s="7"/>
      <c r="E205" s="7"/>
      <c r="F205" s="7"/>
      <c r="G205" s="7"/>
      <c r="H205" s="7"/>
      <c r="I205" s="7"/>
    </row>
    <row r="206" spans="2:9" ht="12.75">
      <c r="B206" s="7"/>
      <c r="C206" s="7"/>
      <c r="D206" s="7"/>
      <c r="E206" s="7"/>
      <c r="F206" s="7"/>
      <c r="G206" s="7"/>
      <c r="H206" s="7"/>
      <c r="I206" s="7"/>
    </row>
    <row r="207" spans="2:9" ht="12.75">
      <c r="B207" s="7"/>
      <c r="C207" s="7"/>
      <c r="D207" s="7"/>
      <c r="E207" s="7"/>
      <c r="F207" s="7"/>
      <c r="G207" s="7"/>
      <c r="H207" s="7"/>
      <c r="I207" s="7"/>
    </row>
    <row r="208" spans="2:9" ht="12.75">
      <c r="B208" s="7"/>
      <c r="C208" s="7"/>
      <c r="D208" s="7"/>
      <c r="E208" s="7"/>
      <c r="F208" s="7"/>
      <c r="G208" s="7"/>
      <c r="H208" s="7"/>
      <c r="I208" s="7"/>
    </row>
    <row r="209" spans="2:9" ht="12.75">
      <c r="B209" s="7"/>
      <c r="C209" s="7"/>
      <c r="D209" s="7"/>
      <c r="E209" s="7"/>
      <c r="F209" s="7"/>
      <c r="G209" s="7"/>
      <c r="H209" s="7"/>
      <c r="I209" s="7"/>
    </row>
    <row r="210" spans="2:9" ht="12.75">
      <c r="B210" s="7"/>
      <c r="C210" s="7"/>
      <c r="D210" s="7"/>
      <c r="E210" s="7"/>
      <c r="F210" s="7"/>
      <c r="G210" s="7"/>
      <c r="H210" s="7"/>
      <c r="I210" s="7"/>
    </row>
    <row r="211" spans="2:9" ht="12.75">
      <c r="B211" s="7"/>
      <c r="C211" s="7"/>
      <c r="D211" s="7"/>
      <c r="E211" s="7"/>
      <c r="F211" s="7"/>
      <c r="G211" s="7"/>
      <c r="H211" s="7"/>
      <c r="I211" s="7"/>
    </row>
    <row r="212" spans="2:9" ht="12.75">
      <c r="B212" s="7"/>
      <c r="C212" s="7"/>
      <c r="D212" s="7"/>
      <c r="E212" s="7"/>
      <c r="F212" s="7"/>
      <c r="G212" s="7"/>
      <c r="H212" s="7"/>
      <c r="I212" s="7"/>
    </row>
    <row r="213" spans="2:9" ht="12.75">
      <c r="B213" s="7"/>
      <c r="C213" s="7"/>
      <c r="D213" s="7"/>
      <c r="E213" s="7"/>
      <c r="F213" s="7"/>
      <c r="G213" s="7"/>
      <c r="H213" s="7"/>
      <c r="I213" s="7"/>
    </row>
    <row r="214" spans="2:9" ht="12.75">
      <c r="B214" s="7"/>
      <c r="C214" s="7"/>
      <c r="D214" s="7"/>
      <c r="E214" s="7"/>
      <c r="F214" s="7"/>
      <c r="G214" s="7"/>
      <c r="H214" s="7"/>
      <c r="I214" s="7"/>
    </row>
    <row r="215" spans="2:9" ht="12.75">
      <c r="B215" s="7"/>
      <c r="C215" s="7"/>
      <c r="D215" s="7"/>
      <c r="E215" s="7"/>
      <c r="F215" s="7"/>
      <c r="G215" s="7"/>
      <c r="H215" s="7"/>
      <c r="I215" s="7"/>
    </row>
    <row r="216" spans="2:9" ht="12.75">
      <c r="B216" s="7"/>
      <c r="C216" s="7"/>
      <c r="D216" s="7"/>
      <c r="E216" s="7"/>
      <c r="F216" s="7"/>
      <c r="G216" s="7"/>
      <c r="H216" s="7"/>
      <c r="I216" s="7"/>
    </row>
    <row r="217" spans="2:9" ht="12.75">
      <c r="B217" s="7"/>
      <c r="C217" s="7"/>
      <c r="D217" s="7"/>
      <c r="E217" s="7"/>
      <c r="F217" s="7"/>
      <c r="G217" s="7"/>
      <c r="H217" s="7"/>
      <c r="I217" s="7"/>
    </row>
    <row r="218" spans="2:9" ht="12.75">
      <c r="B218" s="7"/>
      <c r="C218" s="7"/>
      <c r="D218" s="7"/>
      <c r="E218" s="7"/>
      <c r="F218" s="7"/>
      <c r="G218" s="7"/>
      <c r="H218" s="7"/>
      <c r="I218" s="7"/>
    </row>
    <row r="219" spans="2:9" ht="12.75">
      <c r="B219" s="7"/>
      <c r="C219" s="7"/>
      <c r="D219" s="7"/>
      <c r="E219" s="7"/>
      <c r="F219" s="7"/>
      <c r="G219" s="7"/>
      <c r="H219" s="7"/>
      <c r="I219" s="7"/>
    </row>
    <row r="220" spans="2:9" ht="12.75">
      <c r="B220" s="7"/>
      <c r="C220" s="7"/>
      <c r="D220" s="7"/>
      <c r="E220" s="7"/>
      <c r="F220" s="7"/>
      <c r="G220" s="7"/>
      <c r="H220" s="7"/>
      <c r="I220" s="7"/>
    </row>
    <row r="221" spans="2:9" ht="12.75">
      <c r="B221" s="7"/>
      <c r="C221" s="7"/>
      <c r="D221" s="7"/>
      <c r="E221" s="7"/>
      <c r="F221" s="7"/>
      <c r="G221" s="7"/>
      <c r="H221" s="7"/>
      <c r="I221" s="7"/>
    </row>
    <row r="222" spans="2:9" ht="12.75">
      <c r="B222" s="7"/>
      <c r="C222" s="7"/>
      <c r="D222" s="7"/>
      <c r="E222" s="7"/>
      <c r="F222" s="7"/>
      <c r="G222" s="7"/>
      <c r="H222" s="7"/>
      <c r="I222" s="7"/>
    </row>
    <row r="223" spans="2:9" ht="12.75">
      <c r="B223" s="7"/>
      <c r="C223" s="7"/>
      <c r="D223" s="7"/>
      <c r="E223" s="7"/>
      <c r="F223" s="7"/>
      <c r="G223" s="7"/>
      <c r="H223" s="7"/>
      <c r="I223" s="7"/>
    </row>
    <row r="224" spans="2:9" ht="12.75">
      <c r="B224" s="7"/>
      <c r="C224" s="7"/>
      <c r="D224" s="7"/>
      <c r="E224" s="7"/>
      <c r="F224" s="7"/>
      <c r="G224" s="7"/>
      <c r="H224" s="7"/>
      <c r="I224" s="7"/>
    </row>
    <row r="225" spans="2:9" ht="12.75">
      <c r="B225" s="7"/>
      <c r="C225" s="7"/>
      <c r="D225" s="7"/>
      <c r="E225" s="7"/>
      <c r="F225" s="7"/>
      <c r="G225" s="7"/>
      <c r="H225" s="7"/>
      <c r="I225" s="7"/>
    </row>
    <row r="226" spans="2:9" ht="12.75">
      <c r="B226" s="7"/>
      <c r="C226" s="7"/>
      <c r="D226" s="7"/>
      <c r="E226" s="7"/>
      <c r="F226" s="7"/>
      <c r="G226" s="7"/>
      <c r="H226" s="7"/>
      <c r="I226" s="7"/>
    </row>
    <row r="227" spans="2:9" ht="12.75">
      <c r="B227" s="7"/>
      <c r="C227" s="7"/>
      <c r="D227" s="7"/>
      <c r="E227" s="7"/>
      <c r="F227" s="7"/>
      <c r="G227" s="7"/>
      <c r="H227" s="7"/>
      <c r="I227" s="7"/>
    </row>
    <row r="228" spans="2:9" ht="12.75">
      <c r="B228" s="7"/>
      <c r="C228" s="7"/>
      <c r="D228" s="7"/>
      <c r="E228" s="7"/>
      <c r="F228" s="7"/>
      <c r="G228" s="7"/>
      <c r="H228" s="7"/>
      <c r="I228" s="7"/>
    </row>
    <row r="229" spans="2:9" ht="12.75">
      <c r="B229" s="7"/>
      <c r="C229" s="7"/>
      <c r="D229" s="7"/>
      <c r="E229" s="7"/>
      <c r="F229" s="7"/>
      <c r="G229" s="7"/>
      <c r="H229" s="7"/>
      <c r="I229" s="7"/>
    </row>
    <row r="230" spans="2:9" ht="12.75">
      <c r="B230" s="7"/>
      <c r="C230" s="7"/>
      <c r="D230" s="7"/>
      <c r="E230" s="7"/>
      <c r="F230" s="7"/>
      <c r="G230" s="7"/>
      <c r="H230" s="7"/>
      <c r="I230" s="7"/>
    </row>
    <row r="231" spans="2:9" ht="12.75">
      <c r="B231" s="7"/>
      <c r="C231" s="7"/>
      <c r="D231" s="7"/>
      <c r="E231" s="7"/>
      <c r="F231" s="7"/>
      <c r="G231" s="7"/>
      <c r="H231" s="7"/>
      <c r="I231" s="7"/>
    </row>
    <row r="232" spans="2:9" ht="12.75">
      <c r="B232" s="7"/>
      <c r="C232" s="7"/>
      <c r="D232" s="7"/>
      <c r="E232" s="7"/>
      <c r="F232" s="7"/>
      <c r="G232" s="7"/>
      <c r="H232" s="7"/>
      <c r="I232" s="7"/>
    </row>
    <row r="233" spans="2:9" ht="12.75">
      <c r="B233" s="7"/>
      <c r="C233" s="7"/>
      <c r="D233" s="7"/>
      <c r="E233" s="7"/>
      <c r="F233" s="7"/>
      <c r="G233" s="7"/>
      <c r="H233" s="7"/>
      <c r="I233" s="7"/>
    </row>
    <row r="234" spans="2:9" ht="12.75">
      <c r="B234" s="7"/>
      <c r="C234" s="7"/>
      <c r="D234" s="7"/>
      <c r="E234" s="7"/>
      <c r="F234" s="7"/>
      <c r="G234" s="7"/>
      <c r="H234" s="7"/>
      <c r="I234" s="7"/>
    </row>
    <row r="235" spans="2:9" ht="12.75">
      <c r="B235" s="7"/>
      <c r="C235" s="7"/>
      <c r="D235" s="7"/>
      <c r="E235" s="7"/>
      <c r="F235" s="7"/>
      <c r="G235" s="7"/>
      <c r="H235" s="7"/>
      <c r="I235" s="7"/>
    </row>
    <row r="236" s="22" customFormat="1" ht="12.75"/>
    <row r="237" s="22" customFormat="1" ht="12.75"/>
    <row r="238" s="22" customFormat="1" ht="12.75"/>
    <row r="239" s="22" customFormat="1" ht="12.75"/>
    <row r="240" spans="2:9" ht="12.75">
      <c r="B240" s="7"/>
      <c r="C240" s="7"/>
      <c r="D240" s="7"/>
      <c r="E240" s="7"/>
      <c r="F240" s="7"/>
      <c r="G240" s="7"/>
      <c r="H240" s="7"/>
      <c r="I240" s="7"/>
    </row>
    <row r="241" spans="2:9" ht="12.75">
      <c r="B241" s="7"/>
      <c r="C241" s="7"/>
      <c r="D241" s="7"/>
      <c r="E241" s="7"/>
      <c r="F241" s="7"/>
      <c r="G241" s="7"/>
      <c r="H241" s="7"/>
      <c r="I241" s="7"/>
    </row>
    <row r="242" spans="2:9" ht="12.75">
      <c r="B242" s="7"/>
      <c r="C242" s="7"/>
      <c r="D242" s="7"/>
      <c r="E242" s="7"/>
      <c r="F242" s="7"/>
      <c r="G242" s="7"/>
      <c r="H242" s="7"/>
      <c r="I242" s="7"/>
    </row>
    <row r="243" spans="2:9" ht="12.75">
      <c r="B243" s="7"/>
      <c r="C243" s="7"/>
      <c r="D243" s="7"/>
      <c r="E243" s="7"/>
      <c r="F243" s="7"/>
      <c r="G243" s="7"/>
      <c r="H243" s="7"/>
      <c r="I243" s="7"/>
    </row>
    <row r="244" spans="2:9" ht="12.75">
      <c r="B244" s="7"/>
      <c r="C244" s="7"/>
      <c r="D244" s="7"/>
      <c r="E244" s="7"/>
      <c r="F244" s="7"/>
      <c r="G244" s="7"/>
      <c r="H244" s="7"/>
      <c r="I244" s="7"/>
    </row>
    <row r="245" spans="2:9" ht="12.75">
      <c r="B245" s="7"/>
      <c r="C245" s="7"/>
      <c r="D245" s="7"/>
      <c r="E245" s="7"/>
      <c r="F245" s="7"/>
      <c r="G245" s="7"/>
      <c r="H245" s="7"/>
      <c r="I245" s="7"/>
    </row>
    <row r="246" spans="2:9" ht="12.75">
      <c r="B246" s="7"/>
      <c r="C246" s="7"/>
      <c r="D246" s="7"/>
      <c r="E246" s="7"/>
      <c r="F246" s="7"/>
      <c r="G246" s="7"/>
      <c r="H246" s="7"/>
      <c r="I246" s="7"/>
    </row>
    <row r="247" spans="2:9" ht="12.75">
      <c r="B247" s="7"/>
      <c r="C247" s="7"/>
      <c r="D247" s="7"/>
      <c r="E247" s="7"/>
      <c r="F247" s="7"/>
      <c r="G247" s="7"/>
      <c r="H247" s="7"/>
      <c r="I247" s="7"/>
    </row>
    <row r="248" spans="2:9" ht="12.75">
      <c r="B248" s="7"/>
      <c r="C248" s="7"/>
      <c r="D248" s="7"/>
      <c r="E248" s="7"/>
      <c r="F248" s="7"/>
      <c r="G248" s="7"/>
      <c r="H248" s="7"/>
      <c r="I248" s="7"/>
    </row>
    <row r="249" spans="2:9" ht="12.75">
      <c r="B249" s="7"/>
      <c r="C249" s="7"/>
      <c r="D249" s="7"/>
      <c r="E249" s="7"/>
      <c r="F249" s="7"/>
      <c r="G249" s="7"/>
      <c r="H249" s="7"/>
      <c r="I249" s="7"/>
    </row>
    <row r="250" spans="2:9" ht="12.75">
      <c r="B250" s="7"/>
      <c r="C250" s="7"/>
      <c r="D250" s="7"/>
      <c r="E250" s="7"/>
      <c r="F250" s="7"/>
      <c r="G250" s="7"/>
      <c r="H250" s="7"/>
      <c r="I250" s="7"/>
    </row>
    <row r="251" spans="2:9" ht="12.75">
      <c r="B251" s="7"/>
      <c r="C251" s="7"/>
      <c r="D251" s="7"/>
      <c r="E251" s="7"/>
      <c r="F251" s="7"/>
      <c r="G251" s="7"/>
      <c r="H251" s="7"/>
      <c r="I251" s="7"/>
    </row>
    <row r="252" spans="2:9" ht="12.75">
      <c r="B252" s="7"/>
      <c r="C252" s="7"/>
      <c r="D252" s="7"/>
      <c r="E252" s="7"/>
      <c r="F252" s="7"/>
      <c r="G252" s="7"/>
      <c r="H252" s="7"/>
      <c r="I252" s="7"/>
    </row>
    <row r="253" spans="2:9" ht="12.75">
      <c r="B253" s="7"/>
      <c r="C253" s="7"/>
      <c r="D253" s="7"/>
      <c r="E253" s="7"/>
      <c r="F253" s="7"/>
      <c r="G253" s="7"/>
      <c r="H253" s="7"/>
      <c r="I253" s="7"/>
    </row>
    <row r="254" spans="2:9" ht="12.75">
      <c r="B254" s="7"/>
      <c r="C254" s="7"/>
      <c r="D254" s="7"/>
      <c r="E254" s="7"/>
      <c r="F254" s="7"/>
      <c r="G254" s="7"/>
      <c r="H254" s="7"/>
      <c r="I254" s="7"/>
    </row>
    <row r="255" spans="2:9" ht="12.75">
      <c r="B255" s="7"/>
      <c r="C255" s="7"/>
      <c r="D255" s="7"/>
      <c r="E255" s="7"/>
      <c r="F255" s="7"/>
      <c r="G255" s="7"/>
      <c r="H255" s="7"/>
      <c r="I255" s="7"/>
    </row>
    <row r="256" spans="2:9" ht="12.75">
      <c r="B256" s="7"/>
      <c r="C256" s="7"/>
      <c r="D256" s="7"/>
      <c r="E256" s="7"/>
      <c r="F256" s="7"/>
      <c r="G256" s="7"/>
      <c r="H256" s="7"/>
      <c r="I256" s="7"/>
    </row>
    <row r="257" spans="2:9" ht="12.75">
      <c r="B257" s="7"/>
      <c r="C257" s="7"/>
      <c r="D257" s="7"/>
      <c r="E257" s="7"/>
      <c r="F257" s="7"/>
      <c r="G257" s="7"/>
      <c r="H257" s="7"/>
      <c r="I257" s="7"/>
    </row>
    <row r="258" spans="2:9" ht="12.75">
      <c r="B258" s="7"/>
      <c r="C258" s="7"/>
      <c r="D258" s="7"/>
      <c r="E258" s="7"/>
      <c r="F258" s="7"/>
      <c r="G258" s="7"/>
      <c r="H258" s="7"/>
      <c r="I258" s="7"/>
    </row>
    <row r="259" spans="2:9" ht="12.75">
      <c r="B259" s="7"/>
      <c r="C259" s="7"/>
      <c r="D259" s="7"/>
      <c r="E259" s="7"/>
      <c r="F259" s="7"/>
      <c r="G259" s="7"/>
      <c r="H259" s="7"/>
      <c r="I259" s="7"/>
    </row>
    <row r="260" spans="2:9" ht="12.75">
      <c r="B260" s="7"/>
      <c r="C260" s="7"/>
      <c r="D260" s="7"/>
      <c r="E260" s="7"/>
      <c r="F260" s="7"/>
      <c r="G260" s="7"/>
      <c r="H260" s="7"/>
      <c r="I260" s="7"/>
    </row>
    <row r="261" spans="2:9" ht="12.75">
      <c r="B261" s="7"/>
      <c r="C261" s="7"/>
      <c r="D261" s="7"/>
      <c r="E261" s="7"/>
      <c r="F261" s="7"/>
      <c r="G261" s="7"/>
      <c r="H261" s="7"/>
      <c r="I261" s="7"/>
    </row>
    <row r="262" spans="2:9" ht="12.75">
      <c r="B262" s="7"/>
      <c r="C262" s="7"/>
      <c r="D262" s="7"/>
      <c r="E262" s="7"/>
      <c r="F262" s="7"/>
      <c r="G262" s="7"/>
      <c r="H262" s="7"/>
      <c r="I262" s="7"/>
    </row>
    <row r="263" spans="2:9" ht="12.75">
      <c r="B263" s="7"/>
      <c r="C263" s="7"/>
      <c r="D263" s="7"/>
      <c r="E263" s="7"/>
      <c r="F263" s="7"/>
      <c r="G263" s="7"/>
      <c r="H263" s="7"/>
      <c r="I263" s="7"/>
    </row>
    <row r="264" spans="2:9" ht="12.75">
      <c r="B264" s="7"/>
      <c r="C264" s="7"/>
      <c r="D264" s="7"/>
      <c r="E264" s="7"/>
      <c r="F264" s="7"/>
      <c r="G264" s="7"/>
      <c r="H264" s="7"/>
      <c r="I264" s="7"/>
    </row>
    <row r="265" spans="2:9" ht="12.75">
      <c r="B265" s="7"/>
      <c r="C265" s="7"/>
      <c r="D265" s="7"/>
      <c r="E265" s="7"/>
      <c r="F265" s="7"/>
      <c r="G265" s="7"/>
      <c r="H265" s="7"/>
      <c r="I265" s="7"/>
    </row>
    <row r="266" spans="2:9" ht="12.75">
      <c r="B266" s="7"/>
      <c r="C266" s="7"/>
      <c r="D266" s="7"/>
      <c r="E266" s="7"/>
      <c r="F266" s="7"/>
      <c r="G266" s="7"/>
      <c r="H266" s="7"/>
      <c r="I266" s="7"/>
    </row>
    <row r="267" spans="2:9" ht="12.75">
      <c r="B267" s="7"/>
      <c r="C267" s="7"/>
      <c r="D267" s="7"/>
      <c r="E267" s="7"/>
      <c r="F267" s="7"/>
      <c r="G267" s="7"/>
      <c r="H267" s="7"/>
      <c r="I267" s="7"/>
    </row>
    <row r="268" spans="2:9" ht="12.75">
      <c r="B268" s="7"/>
      <c r="C268" s="7"/>
      <c r="D268" s="7"/>
      <c r="E268" s="7"/>
      <c r="F268" s="7"/>
      <c r="G268" s="7"/>
      <c r="H268" s="7"/>
      <c r="I268" s="7"/>
    </row>
    <row r="269" spans="2:9" ht="12.75">
      <c r="B269" s="7"/>
      <c r="C269" s="7"/>
      <c r="D269" s="7"/>
      <c r="E269" s="7"/>
      <c r="F269" s="7"/>
      <c r="G269" s="7"/>
      <c r="H269" s="7"/>
      <c r="I269" s="7"/>
    </row>
    <row r="270" spans="2:9" ht="12.75">
      <c r="B270" s="7"/>
      <c r="C270" s="7"/>
      <c r="D270" s="7"/>
      <c r="E270" s="7"/>
      <c r="F270" s="7"/>
      <c r="G270" s="7"/>
      <c r="H270" s="7"/>
      <c r="I270" s="7"/>
    </row>
    <row r="271" spans="2:9" ht="12.75">
      <c r="B271" s="7"/>
      <c r="C271" s="7"/>
      <c r="D271" s="7"/>
      <c r="E271" s="7"/>
      <c r="F271" s="7"/>
      <c r="G271" s="7"/>
      <c r="H271" s="7"/>
      <c r="I271" s="7"/>
    </row>
    <row r="272" spans="2:9" ht="12.75">
      <c r="B272" s="7"/>
      <c r="C272" s="7"/>
      <c r="D272" s="7"/>
      <c r="E272" s="7"/>
      <c r="F272" s="7"/>
      <c r="G272" s="7"/>
      <c r="H272" s="7"/>
      <c r="I272" s="7"/>
    </row>
    <row r="273" spans="2:9" ht="12.75">
      <c r="B273" s="7"/>
      <c r="C273" s="7"/>
      <c r="D273" s="7"/>
      <c r="E273" s="7"/>
      <c r="F273" s="7"/>
      <c r="G273" s="7"/>
      <c r="H273" s="7"/>
      <c r="I273" s="7"/>
    </row>
    <row r="274" spans="2:9" ht="12.75">
      <c r="B274" s="7"/>
      <c r="C274" s="7"/>
      <c r="D274" s="7"/>
      <c r="E274" s="7"/>
      <c r="F274" s="7"/>
      <c r="G274" s="7"/>
      <c r="H274" s="7"/>
      <c r="I274" s="7"/>
    </row>
    <row r="275" spans="2:9" ht="12.75">
      <c r="B275" s="7"/>
      <c r="C275" s="7"/>
      <c r="D275" s="7"/>
      <c r="E275" s="7"/>
      <c r="F275" s="7"/>
      <c r="G275" s="7"/>
      <c r="H275" s="7"/>
      <c r="I275" s="7"/>
    </row>
    <row r="276" spans="2:9" ht="12.75">
      <c r="B276" s="7"/>
      <c r="C276" s="7"/>
      <c r="D276" s="7"/>
      <c r="E276" s="7"/>
      <c r="F276" s="7"/>
      <c r="G276" s="7"/>
      <c r="H276" s="7"/>
      <c r="I276" s="7"/>
    </row>
    <row r="277" spans="2:9" ht="12.75">
      <c r="B277" s="7"/>
      <c r="C277" s="7"/>
      <c r="D277" s="7"/>
      <c r="E277" s="7"/>
      <c r="F277" s="7"/>
      <c r="G277" s="7"/>
      <c r="H277" s="7"/>
      <c r="I277" s="7"/>
    </row>
    <row r="278" spans="2:9" ht="12.75">
      <c r="B278" s="7"/>
      <c r="C278" s="7"/>
      <c r="D278" s="7"/>
      <c r="E278" s="7"/>
      <c r="F278" s="7"/>
      <c r="G278" s="7"/>
      <c r="H278" s="7"/>
      <c r="I278" s="7"/>
    </row>
    <row r="279" spans="2:9" ht="12.75">
      <c r="B279" s="7"/>
      <c r="C279" s="7"/>
      <c r="D279" s="7"/>
      <c r="E279" s="7"/>
      <c r="F279" s="7"/>
      <c r="G279" s="7"/>
      <c r="H279" s="7"/>
      <c r="I279" s="7"/>
    </row>
    <row r="280" spans="2:9" ht="12.75">
      <c r="B280" s="7"/>
      <c r="C280" s="7"/>
      <c r="D280" s="7"/>
      <c r="E280" s="7"/>
      <c r="F280" s="7"/>
      <c r="G280" s="7"/>
      <c r="H280" s="7"/>
      <c r="I280" s="7"/>
    </row>
    <row r="281" spans="2:9" ht="12.75">
      <c r="B281" s="7"/>
      <c r="C281" s="7"/>
      <c r="D281" s="7"/>
      <c r="E281" s="7"/>
      <c r="F281" s="7"/>
      <c r="G281" s="7"/>
      <c r="H281" s="7"/>
      <c r="I281" s="7"/>
    </row>
    <row r="282" spans="2:9" ht="12.75">
      <c r="B282" s="7"/>
      <c r="C282" s="7"/>
      <c r="D282" s="7"/>
      <c r="E282" s="7"/>
      <c r="F282" s="7"/>
      <c r="G282" s="7"/>
      <c r="H282" s="7"/>
      <c r="I282" s="7"/>
    </row>
    <row r="283" spans="2:9" ht="12.75">
      <c r="B283" s="7"/>
      <c r="C283" s="7"/>
      <c r="D283" s="7"/>
      <c r="E283" s="7"/>
      <c r="F283" s="7"/>
      <c r="G283" s="7"/>
      <c r="H283" s="7"/>
      <c r="I283" s="7"/>
    </row>
    <row r="284" spans="2:9" ht="12.75">
      <c r="B284" s="7"/>
      <c r="C284" s="7"/>
      <c r="D284" s="7"/>
      <c r="E284" s="7"/>
      <c r="F284" s="7"/>
      <c r="G284" s="7"/>
      <c r="H284" s="7"/>
      <c r="I284" s="7"/>
    </row>
    <row r="285" spans="2:9" ht="12.75">
      <c r="B285" s="7"/>
      <c r="C285" s="7"/>
      <c r="D285" s="7"/>
      <c r="E285" s="7"/>
      <c r="F285" s="7"/>
      <c r="G285" s="7"/>
      <c r="H285" s="7"/>
      <c r="I285" s="7"/>
    </row>
    <row r="286" spans="2:9" ht="12.75">
      <c r="B286" s="7"/>
      <c r="C286" s="7"/>
      <c r="D286" s="7"/>
      <c r="E286" s="7"/>
      <c r="F286" s="7"/>
      <c r="G286" s="7"/>
      <c r="H286" s="7"/>
      <c r="I286" s="7"/>
    </row>
    <row r="287" spans="2:9" ht="12.75">
      <c r="B287" s="7"/>
      <c r="C287" s="7"/>
      <c r="D287" s="7"/>
      <c r="E287" s="7"/>
      <c r="F287" s="7"/>
      <c r="G287" s="7"/>
      <c r="H287" s="7"/>
      <c r="I287" s="7"/>
    </row>
    <row r="288" spans="2:9" ht="24" customHeight="1">
      <c r="B288" s="7"/>
      <c r="C288" s="7"/>
      <c r="D288" s="7"/>
      <c r="E288" s="7"/>
      <c r="F288" s="7"/>
      <c r="G288" s="7"/>
      <c r="H288" s="7"/>
      <c r="I288" s="7"/>
    </row>
    <row r="289" spans="2:9" ht="12.75">
      <c r="B289" s="7"/>
      <c r="C289" s="7"/>
      <c r="D289" s="7"/>
      <c r="E289" s="7"/>
      <c r="F289" s="7"/>
      <c r="G289" s="7"/>
      <c r="H289" s="7"/>
      <c r="I289" s="7"/>
    </row>
    <row r="290" spans="2:9" ht="12.75">
      <c r="B290" s="7"/>
      <c r="C290" s="7"/>
      <c r="D290" s="7"/>
      <c r="E290" s="7"/>
      <c r="F290" s="7"/>
      <c r="G290" s="7"/>
      <c r="H290" s="7"/>
      <c r="I290" s="7"/>
    </row>
    <row r="291" spans="2:9" ht="12.75">
      <c r="B291" s="7"/>
      <c r="C291" s="7"/>
      <c r="D291" s="7"/>
      <c r="E291" s="7"/>
      <c r="F291" s="7"/>
      <c r="G291" s="7"/>
      <c r="H291" s="7"/>
      <c r="I291" s="7"/>
    </row>
    <row r="292" spans="2:9" ht="12.75">
      <c r="B292" s="7"/>
      <c r="C292" s="7"/>
      <c r="D292" s="7"/>
      <c r="E292" s="7"/>
      <c r="F292" s="7"/>
      <c r="G292" s="7"/>
      <c r="H292" s="7"/>
      <c r="I292" s="7"/>
    </row>
    <row r="293" spans="2:9" ht="12.75">
      <c r="B293" s="7"/>
      <c r="C293" s="7"/>
      <c r="D293" s="7"/>
      <c r="E293" s="7"/>
      <c r="F293" s="7"/>
      <c r="G293" s="7"/>
      <c r="H293" s="7"/>
      <c r="I293" s="7"/>
    </row>
    <row r="294" spans="2:9" ht="12.75">
      <c r="B294" s="7"/>
      <c r="C294" s="7"/>
      <c r="D294" s="7"/>
      <c r="E294" s="7"/>
      <c r="F294" s="7"/>
      <c r="G294" s="7"/>
      <c r="H294" s="7"/>
      <c r="I294" s="7"/>
    </row>
    <row r="295" spans="2:9" ht="12.75">
      <c r="B295" s="7"/>
      <c r="C295" s="7"/>
      <c r="D295" s="7"/>
      <c r="E295" s="7"/>
      <c r="F295" s="7"/>
      <c r="G295" s="7"/>
      <c r="H295" s="7"/>
      <c r="I295" s="7"/>
    </row>
    <row r="296" s="19" customFormat="1" ht="12.75"/>
    <row r="297" s="19" customFormat="1" ht="12.75"/>
    <row r="298" s="19" customFormat="1" ht="12.75"/>
    <row r="299" s="19" customFormat="1" ht="12.75"/>
    <row r="300" s="19" customFormat="1" ht="12.75"/>
    <row r="301" s="19" customFormat="1" ht="12.75"/>
    <row r="302" s="19" customFormat="1" ht="12.75"/>
    <row r="303" s="19" customFormat="1" ht="12.75"/>
    <row r="304" s="19" customFormat="1" ht="12.75"/>
    <row r="305" s="19" customFormat="1" ht="12.75"/>
    <row r="306" s="20" customFormat="1" ht="12.75"/>
    <row r="307" spans="2:9" ht="12.75">
      <c r="B307" s="7"/>
      <c r="C307" s="7"/>
      <c r="D307" s="7"/>
      <c r="E307" s="7"/>
      <c r="F307" s="7"/>
      <c r="G307" s="7"/>
      <c r="H307" s="7"/>
      <c r="I307" s="7"/>
    </row>
    <row r="308" spans="2:9" ht="12.75">
      <c r="B308" s="7"/>
      <c r="C308" s="7"/>
      <c r="D308" s="7"/>
      <c r="E308" s="7"/>
      <c r="F308" s="7"/>
      <c r="G308" s="7"/>
      <c r="H308" s="7"/>
      <c r="I308" s="7"/>
    </row>
    <row r="309" spans="2:9" ht="12.75">
      <c r="B309" s="7"/>
      <c r="C309" s="7"/>
      <c r="D309" s="7"/>
      <c r="E309" s="7"/>
      <c r="F309" s="7"/>
      <c r="G309" s="7"/>
      <c r="H309" s="7"/>
      <c r="I309" s="7"/>
    </row>
    <row r="310" spans="2:9" ht="12.75">
      <c r="B310" s="7"/>
      <c r="C310" s="7"/>
      <c r="D310" s="7"/>
      <c r="E310" s="7"/>
      <c r="F310" s="7"/>
      <c r="G310" s="7"/>
      <c r="H310" s="7"/>
      <c r="I310" s="7"/>
    </row>
    <row r="311" spans="2:9" ht="12.75">
      <c r="B311" s="7"/>
      <c r="C311" s="7"/>
      <c r="D311" s="7"/>
      <c r="E311" s="7"/>
      <c r="F311" s="7"/>
      <c r="G311" s="7"/>
      <c r="H311" s="7"/>
      <c r="I311" s="7"/>
    </row>
    <row r="312" spans="2:9" ht="12.75">
      <c r="B312" s="7"/>
      <c r="C312" s="7"/>
      <c r="D312" s="7"/>
      <c r="E312" s="7"/>
      <c r="F312" s="7"/>
      <c r="G312" s="7"/>
      <c r="H312" s="7"/>
      <c r="I312" s="7"/>
    </row>
    <row r="313" spans="2:9" ht="12.75">
      <c r="B313" s="7"/>
      <c r="C313" s="7"/>
      <c r="D313" s="7"/>
      <c r="E313" s="7"/>
      <c r="F313" s="7"/>
      <c r="G313" s="7"/>
      <c r="H313" s="7"/>
      <c r="I313" s="7"/>
    </row>
    <row r="314" spans="2:9" ht="12.75">
      <c r="B314" s="7"/>
      <c r="C314" s="7"/>
      <c r="D314" s="7"/>
      <c r="E314" s="7"/>
      <c r="F314" s="7"/>
      <c r="G314" s="7"/>
      <c r="H314" s="7"/>
      <c r="I314" s="7"/>
    </row>
    <row r="315" spans="2:9" ht="12.75">
      <c r="B315" s="7"/>
      <c r="C315" s="7"/>
      <c r="D315" s="7"/>
      <c r="E315" s="7"/>
      <c r="F315" s="7"/>
      <c r="G315" s="7"/>
      <c r="H315" s="7"/>
      <c r="I315" s="7"/>
    </row>
    <row r="316" spans="2:9" ht="12.75">
      <c r="B316" s="7"/>
      <c r="C316" s="7"/>
      <c r="D316" s="7"/>
      <c r="E316" s="7"/>
      <c r="F316" s="7"/>
      <c r="G316" s="7"/>
      <c r="H316" s="7"/>
      <c r="I316" s="7"/>
    </row>
    <row r="317" spans="2:9" ht="12.75">
      <c r="B317" s="7"/>
      <c r="C317" s="7"/>
      <c r="D317" s="7"/>
      <c r="E317" s="7"/>
      <c r="F317" s="7"/>
      <c r="G317" s="7"/>
      <c r="H317" s="7"/>
      <c r="I317" s="7"/>
    </row>
    <row r="318" spans="2:9" ht="12.75">
      <c r="B318" s="7"/>
      <c r="C318" s="7"/>
      <c r="D318" s="7"/>
      <c r="E318" s="7"/>
      <c r="F318" s="7"/>
      <c r="G318" s="7"/>
      <c r="H318" s="7"/>
      <c r="I318" s="7"/>
    </row>
    <row r="319" spans="2:9" ht="12.75">
      <c r="B319" s="7"/>
      <c r="C319" s="7"/>
      <c r="D319" s="7"/>
      <c r="E319" s="7"/>
      <c r="F319" s="7"/>
      <c r="G319" s="7"/>
      <c r="H319" s="7"/>
      <c r="I319" s="7"/>
    </row>
    <row r="320" spans="2:9" ht="12.75">
      <c r="B320" s="7"/>
      <c r="C320" s="7"/>
      <c r="D320" s="7"/>
      <c r="E320" s="7"/>
      <c r="F320" s="7"/>
      <c r="G320" s="7"/>
      <c r="H320" s="7"/>
      <c r="I320" s="7"/>
    </row>
    <row r="321" spans="2:9" ht="12.75">
      <c r="B321" s="7"/>
      <c r="C321" s="7"/>
      <c r="D321" s="7"/>
      <c r="E321" s="7"/>
      <c r="F321" s="7"/>
      <c r="G321" s="7"/>
      <c r="H321" s="7"/>
      <c r="I321" s="7"/>
    </row>
    <row r="322" spans="2:9" ht="12.75">
      <c r="B322" s="7"/>
      <c r="C322" s="7"/>
      <c r="D322" s="7"/>
      <c r="E322" s="7"/>
      <c r="F322" s="7"/>
      <c r="G322" s="7"/>
      <c r="H322" s="7"/>
      <c r="I322" s="7"/>
    </row>
    <row r="323" spans="2:9" ht="12.75">
      <c r="B323" s="7"/>
      <c r="C323" s="7"/>
      <c r="D323" s="7"/>
      <c r="E323" s="7"/>
      <c r="F323" s="7"/>
      <c r="G323" s="7"/>
      <c r="H323" s="7"/>
      <c r="I323" s="7"/>
    </row>
    <row r="324" spans="2:9" ht="12.75">
      <c r="B324" s="7"/>
      <c r="C324" s="7"/>
      <c r="D324" s="7"/>
      <c r="E324" s="7"/>
      <c r="F324" s="7"/>
      <c r="G324" s="7"/>
      <c r="H324" s="7"/>
      <c r="I324" s="7"/>
    </row>
    <row r="325" spans="2:9" ht="12.75">
      <c r="B325" s="7"/>
      <c r="C325" s="7"/>
      <c r="D325" s="7"/>
      <c r="E325" s="7"/>
      <c r="F325" s="7"/>
      <c r="G325" s="7"/>
      <c r="H325" s="7"/>
      <c r="I325" s="7"/>
    </row>
    <row r="326" spans="2:9" ht="12.75">
      <c r="B326" s="7"/>
      <c r="C326" s="7"/>
      <c r="D326" s="7"/>
      <c r="E326" s="7"/>
      <c r="F326" s="7"/>
      <c r="G326" s="7"/>
      <c r="H326" s="7"/>
      <c r="I326" s="7"/>
    </row>
    <row r="327" spans="2:9" ht="12.75">
      <c r="B327" s="7"/>
      <c r="C327" s="7"/>
      <c r="D327" s="7"/>
      <c r="E327" s="7"/>
      <c r="F327" s="7"/>
      <c r="G327" s="7"/>
      <c r="H327" s="7"/>
      <c r="I327" s="7"/>
    </row>
    <row r="328" spans="2:9" ht="12.75">
      <c r="B328" s="7"/>
      <c r="C328" s="7"/>
      <c r="D328" s="7"/>
      <c r="E328" s="7"/>
      <c r="F328" s="7"/>
      <c r="G328" s="7"/>
      <c r="H328" s="7"/>
      <c r="I328" s="7"/>
    </row>
    <row r="329" spans="2:9" ht="12.75">
      <c r="B329" s="7"/>
      <c r="C329" s="7"/>
      <c r="D329" s="7"/>
      <c r="E329" s="7"/>
      <c r="F329" s="7"/>
      <c r="G329" s="7"/>
      <c r="H329" s="7"/>
      <c r="I329" s="7"/>
    </row>
    <row r="330" spans="2:9" ht="12.75">
      <c r="B330" s="7"/>
      <c r="C330" s="7"/>
      <c r="D330" s="7"/>
      <c r="E330" s="7"/>
      <c r="F330" s="7"/>
      <c r="G330" s="7"/>
      <c r="H330" s="7"/>
      <c r="I330" s="7"/>
    </row>
    <row r="331" spans="2:9" ht="12.75">
      <c r="B331" s="7"/>
      <c r="C331" s="7"/>
      <c r="D331" s="7"/>
      <c r="E331" s="7"/>
      <c r="F331" s="7"/>
      <c r="G331" s="7"/>
      <c r="H331" s="7"/>
      <c r="I331" s="7"/>
    </row>
    <row r="332" spans="2:9" ht="12.75">
      <c r="B332" s="7"/>
      <c r="C332" s="7"/>
      <c r="D332" s="7"/>
      <c r="E332" s="7"/>
      <c r="F332" s="7"/>
      <c r="G332" s="7"/>
      <c r="H332" s="7"/>
      <c r="I332" s="7"/>
    </row>
    <row r="333" spans="2:9" ht="12.75">
      <c r="B333" s="7"/>
      <c r="C333" s="7"/>
      <c r="D333" s="7"/>
      <c r="E333" s="7"/>
      <c r="F333" s="7"/>
      <c r="G333" s="7"/>
      <c r="H333" s="7"/>
      <c r="I333" s="7"/>
    </row>
    <row r="334" spans="2:9" ht="12.75">
      <c r="B334" s="7"/>
      <c r="C334" s="7"/>
      <c r="D334" s="7"/>
      <c r="E334" s="7"/>
      <c r="F334" s="7"/>
      <c r="G334" s="7"/>
      <c r="H334" s="7"/>
      <c r="I334" s="7"/>
    </row>
    <row r="335" spans="2:9" ht="12.75">
      <c r="B335" s="7"/>
      <c r="C335" s="7"/>
      <c r="D335" s="7"/>
      <c r="E335" s="7"/>
      <c r="F335" s="7"/>
      <c r="G335" s="7"/>
      <c r="H335" s="7"/>
      <c r="I335" s="7"/>
    </row>
    <row r="336" spans="2:9" ht="12.75">
      <c r="B336" s="7"/>
      <c r="C336" s="7"/>
      <c r="D336" s="7"/>
      <c r="E336" s="7"/>
      <c r="F336" s="7"/>
      <c r="G336" s="7"/>
      <c r="H336" s="7"/>
      <c r="I336" s="7"/>
    </row>
    <row r="337" spans="2:9" ht="12.75">
      <c r="B337" s="7"/>
      <c r="C337" s="7"/>
      <c r="D337" s="7"/>
      <c r="E337" s="7"/>
      <c r="F337" s="7"/>
      <c r="G337" s="7"/>
      <c r="H337" s="7"/>
      <c r="I337" s="7"/>
    </row>
    <row r="338" spans="2:9" ht="12.75">
      <c r="B338" s="7"/>
      <c r="C338" s="7"/>
      <c r="D338" s="7"/>
      <c r="E338" s="7"/>
      <c r="F338" s="7"/>
      <c r="G338" s="7"/>
      <c r="H338" s="7"/>
      <c r="I338" s="7"/>
    </row>
    <row r="339" spans="2:9" ht="12.75">
      <c r="B339" s="7"/>
      <c r="C339" s="7"/>
      <c r="D339" s="7"/>
      <c r="E339" s="7"/>
      <c r="F339" s="7"/>
      <c r="G339" s="7"/>
      <c r="H339" s="7"/>
      <c r="I339" s="7"/>
    </row>
    <row r="340" spans="2:9" ht="12.75">
      <c r="B340" s="7"/>
      <c r="C340" s="7"/>
      <c r="D340" s="7"/>
      <c r="E340" s="7"/>
      <c r="F340" s="7"/>
      <c r="G340" s="7"/>
      <c r="H340" s="7"/>
      <c r="I340" s="7"/>
    </row>
    <row r="341" spans="2:9" ht="12.75">
      <c r="B341" s="7"/>
      <c r="C341" s="7"/>
      <c r="D341" s="7"/>
      <c r="E341" s="7"/>
      <c r="F341" s="7"/>
      <c r="G341" s="7"/>
      <c r="H341" s="7"/>
      <c r="I341" s="7"/>
    </row>
    <row r="342" spans="2:9" ht="12.75">
      <c r="B342" s="7"/>
      <c r="C342" s="7"/>
      <c r="D342" s="7"/>
      <c r="E342" s="7"/>
      <c r="F342" s="7"/>
      <c r="G342" s="7"/>
      <c r="H342" s="7"/>
      <c r="I342" s="7"/>
    </row>
    <row r="343" spans="2:9" ht="12.75">
      <c r="B343" s="7"/>
      <c r="C343" s="7"/>
      <c r="D343" s="7"/>
      <c r="E343" s="7"/>
      <c r="F343" s="7"/>
      <c r="G343" s="7"/>
      <c r="H343" s="7"/>
      <c r="I343" s="7"/>
    </row>
    <row r="344" spans="2:9" ht="12.75">
      <c r="B344" s="7"/>
      <c r="C344" s="7"/>
      <c r="D344" s="7"/>
      <c r="E344" s="7"/>
      <c r="F344" s="7"/>
      <c r="G344" s="7"/>
      <c r="H344" s="7"/>
      <c r="I344" s="7"/>
    </row>
    <row r="345" spans="2:9" ht="12.75">
      <c r="B345" s="7"/>
      <c r="C345" s="7"/>
      <c r="D345" s="7"/>
      <c r="E345" s="7"/>
      <c r="F345" s="7"/>
      <c r="G345" s="7"/>
      <c r="H345" s="7"/>
      <c r="I345" s="7"/>
    </row>
    <row r="346" spans="2:9" ht="12.75">
      <c r="B346" s="7"/>
      <c r="C346" s="7"/>
      <c r="D346" s="7"/>
      <c r="E346" s="7"/>
      <c r="F346" s="7"/>
      <c r="G346" s="7"/>
      <c r="H346" s="7"/>
      <c r="I346" s="7"/>
    </row>
    <row r="347" spans="2:9" ht="12.75">
      <c r="B347" s="7"/>
      <c r="C347" s="7"/>
      <c r="D347" s="7"/>
      <c r="E347" s="7"/>
      <c r="F347" s="7"/>
      <c r="G347" s="7"/>
      <c r="H347" s="7"/>
      <c r="I347" s="7"/>
    </row>
    <row r="348" spans="2:9" ht="12.75">
      <c r="B348" s="7"/>
      <c r="C348" s="7"/>
      <c r="D348" s="7"/>
      <c r="E348" s="7"/>
      <c r="F348" s="7"/>
      <c r="G348" s="7"/>
      <c r="H348" s="7"/>
      <c r="I348" s="7"/>
    </row>
    <row r="349" spans="2:9" ht="12.75">
      <c r="B349" s="7"/>
      <c r="C349" s="7"/>
      <c r="D349" s="7"/>
      <c r="E349" s="7"/>
      <c r="F349" s="7"/>
      <c r="G349" s="7"/>
      <c r="H349" s="7"/>
      <c r="I349" s="7"/>
    </row>
    <row r="350" spans="2:9" ht="12.75">
      <c r="B350" s="7"/>
      <c r="C350" s="7"/>
      <c r="D350" s="7"/>
      <c r="E350" s="7"/>
      <c r="F350" s="7"/>
      <c r="G350" s="7"/>
      <c r="H350" s="7"/>
      <c r="I350" s="7"/>
    </row>
    <row r="351" spans="2:9" ht="12.75">
      <c r="B351" s="7"/>
      <c r="C351" s="7"/>
      <c r="D351" s="7"/>
      <c r="E351" s="7"/>
      <c r="F351" s="7"/>
      <c r="G351" s="7"/>
      <c r="H351" s="7"/>
      <c r="I351" s="7"/>
    </row>
    <row r="352" spans="2:9" ht="12.75">
      <c r="B352" s="7"/>
      <c r="C352" s="7"/>
      <c r="D352" s="7"/>
      <c r="E352" s="7"/>
      <c r="F352" s="7"/>
      <c r="G352" s="7"/>
      <c r="H352" s="7"/>
      <c r="I352" s="7"/>
    </row>
    <row r="353" spans="2:9" ht="12.75">
      <c r="B353" s="7"/>
      <c r="C353" s="7"/>
      <c r="D353" s="7"/>
      <c r="E353" s="7"/>
      <c r="F353" s="7"/>
      <c r="G353" s="7"/>
      <c r="H353" s="7"/>
      <c r="I353" s="7"/>
    </row>
    <row r="354" spans="2:9" ht="12.75">
      <c r="B354" s="7"/>
      <c r="C354" s="7"/>
      <c r="D354" s="7"/>
      <c r="E354" s="7"/>
      <c r="F354" s="7"/>
      <c r="G354" s="7"/>
      <c r="H354" s="7"/>
      <c r="I354" s="7"/>
    </row>
  </sheetData>
  <mergeCells count="2">
    <mergeCell ref="J3:L4"/>
    <mergeCell ref="J5:L5"/>
  </mergeCells>
  <printOptions/>
  <pageMargins left="0.25" right="0.25" top="0.25" bottom="0.25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workbookViewId="0" topLeftCell="A1">
      <pane xSplit="1" ySplit="5" topLeftCell="J6" activePane="bottomRight" state="frozen"/>
      <selection pane="topLeft" activeCell="R47" sqref="A1:R47"/>
      <selection pane="topRight" activeCell="R47" sqref="A1:R47"/>
      <selection pane="bottomLeft" activeCell="R47" sqref="A1:R47"/>
      <selection pane="bottomRight" activeCell="L49" sqref="A1:L49"/>
    </sheetView>
  </sheetViews>
  <sheetFormatPr defaultColWidth="9.140625" defaultRowHeight="12.75"/>
  <cols>
    <col min="1" max="1" width="47.28125" style="7" bestFit="1" customWidth="1"/>
    <col min="2" max="2" width="8.140625" style="8" hidden="1" customWidth="1"/>
    <col min="3" max="3" width="7.28125" style="3" hidden="1" customWidth="1"/>
    <col min="4" max="4" width="7.00390625" style="4" hidden="1" customWidth="1"/>
    <col min="5" max="5" width="11.7109375" style="3" hidden="1" customWidth="1"/>
    <col min="6" max="6" width="7.00390625" style="4" hidden="1" customWidth="1"/>
    <col min="7" max="7" width="14.00390625" style="3" hidden="1" customWidth="1"/>
    <col min="8" max="8" width="7.00390625" style="4" hidden="1" customWidth="1"/>
    <col min="9" max="9" width="8.57421875" style="5" hidden="1" customWidth="1"/>
    <col min="10" max="16384" width="8.8515625" style="7" customWidth="1"/>
  </cols>
  <sheetData>
    <row r="1" spans="1:2" ht="12.75" customHeight="1">
      <c r="A1" s="1" t="s">
        <v>0</v>
      </c>
      <c r="B1" s="2"/>
    </row>
    <row r="2" spans="1:2" ht="13.5" thickBot="1">
      <c r="A2" s="1" t="s">
        <v>596</v>
      </c>
      <c r="B2" s="2"/>
    </row>
    <row r="3" spans="7:12" ht="12.75">
      <c r="G3" s="3" t="s">
        <v>597</v>
      </c>
      <c r="J3" s="135" t="s">
        <v>1</v>
      </c>
      <c r="K3" s="136"/>
      <c r="L3" s="137"/>
    </row>
    <row r="4" spans="3:12" ht="13.5" thickBot="1">
      <c r="C4" s="3" t="s">
        <v>2</v>
      </c>
      <c r="D4" s="4" t="s">
        <v>3</v>
      </c>
      <c r="E4" s="3" t="s">
        <v>4</v>
      </c>
      <c r="F4" s="4" t="s">
        <v>3</v>
      </c>
      <c r="G4" s="3" t="s">
        <v>4</v>
      </c>
      <c r="H4" s="4" t="s">
        <v>3</v>
      </c>
      <c r="I4" s="10" t="s">
        <v>5</v>
      </c>
      <c r="J4" s="138"/>
      <c r="K4" s="139"/>
      <c r="L4" s="140"/>
    </row>
    <row r="5" spans="1:12" ht="12.75">
      <c r="A5" s="11" t="s">
        <v>6</v>
      </c>
      <c r="B5" s="12" t="s">
        <v>7</v>
      </c>
      <c r="C5" s="13" t="s">
        <v>8</v>
      </c>
      <c r="D5" s="4" t="s">
        <v>9</v>
      </c>
      <c r="E5" s="13" t="s">
        <v>10</v>
      </c>
      <c r="F5" s="4" t="s">
        <v>9</v>
      </c>
      <c r="G5" s="13" t="s">
        <v>11</v>
      </c>
      <c r="H5" s="4" t="s">
        <v>9</v>
      </c>
      <c r="I5" s="10" t="s">
        <v>12</v>
      </c>
      <c r="J5" s="141" t="s">
        <v>622</v>
      </c>
      <c r="K5" s="142"/>
      <c r="L5" s="143"/>
    </row>
    <row r="6" spans="1:12" ht="12.75">
      <c r="A6" s="1" t="s">
        <v>108</v>
      </c>
      <c r="B6" s="2"/>
      <c r="J6" s="111"/>
      <c r="K6" s="112"/>
      <c r="L6" s="48"/>
    </row>
    <row r="7" spans="1:12" ht="12.75">
      <c r="A7" s="7" t="s">
        <v>109</v>
      </c>
      <c r="B7" s="8" t="s">
        <v>110</v>
      </c>
      <c r="C7" s="3">
        <f>8+4</f>
        <v>12</v>
      </c>
      <c r="D7" s="4">
        <f>C7/$C$49</f>
        <v>0.00894187779433681</v>
      </c>
      <c r="E7" s="3">
        <v>11</v>
      </c>
      <c r="F7" s="4">
        <f>E7/$E$49</f>
        <v>0.017857142857142856</v>
      </c>
      <c r="G7" s="3">
        <v>31</v>
      </c>
      <c r="H7" s="4">
        <f>G7/$G$49</f>
        <v>0.008304312885079025</v>
      </c>
      <c r="I7" s="10">
        <f aca="true" t="shared" si="0" ref="I7:I49">+(D7+F7+H7)/3</f>
        <v>0.011701111178852898</v>
      </c>
      <c r="J7" s="111"/>
      <c r="K7" s="112">
        <f>I7*$K$49</f>
        <v>912.1305333476397</v>
      </c>
      <c r="L7" s="48"/>
    </row>
    <row r="8" spans="1:12" ht="12.75">
      <c r="A8" s="7" t="s">
        <v>111</v>
      </c>
      <c r="B8" s="8" t="s">
        <v>112</v>
      </c>
      <c r="D8" s="4">
        <f aca="true" t="shared" si="1" ref="D8:D48">C8/$C$49</f>
        <v>0</v>
      </c>
      <c r="F8" s="4">
        <f aca="true" t="shared" si="2" ref="F8:F48">E8/$E$49</f>
        <v>0</v>
      </c>
      <c r="H8" s="4">
        <f aca="true" t="shared" si="3" ref="H8:H48">G8/$G$49</f>
        <v>0</v>
      </c>
      <c r="I8" s="10">
        <f t="shared" si="0"/>
        <v>0</v>
      </c>
      <c r="J8" s="111"/>
      <c r="K8" s="112">
        <f aca="true" t="shared" si="4" ref="K8:K48">I8*$K$49</f>
        <v>0</v>
      </c>
      <c r="L8" s="48"/>
    </row>
    <row r="9" spans="1:12" ht="12.75">
      <c r="A9" s="7" t="s">
        <v>587</v>
      </c>
      <c r="B9" s="8" t="s">
        <v>588</v>
      </c>
      <c r="D9" s="4">
        <f t="shared" si="1"/>
        <v>0</v>
      </c>
      <c r="F9" s="4">
        <f t="shared" si="2"/>
        <v>0</v>
      </c>
      <c r="G9" s="3">
        <v>5</v>
      </c>
      <c r="H9" s="4">
        <f t="shared" si="3"/>
        <v>0.001339405304045004</v>
      </c>
      <c r="I9" s="10">
        <f t="shared" si="0"/>
        <v>0.000446468434681668</v>
      </c>
      <c r="J9" s="111"/>
      <c r="K9" s="112">
        <f t="shared" si="4"/>
        <v>34.80331784087865</v>
      </c>
      <c r="L9" s="48"/>
    </row>
    <row r="10" spans="1:12" ht="12.75">
      <c r="A10" s="7" t="s">
        <v>113</v>
      </c>
      <c r="B10" s="8" t="s">
        <v>114</v>
      </c>
      <c r="D10" s="4">
        <f t="shared" si="1"/>
        <v>0</v>
      </c>
      <c r="E10" s="3">
        <v>47</v>
      </c>
      <c r="F10" s="4">
        <f t="shared" si="2"/>
        <v>0.0762987012987013</v>
      </c>
      <c r="G10" s="3">
        <v>101</v>
      </c>
      <c r="H10" s="4">
        <f t="shared" si="3"/>
        <v>0.027055987141709082</v>
      </c>
      <c r="I10" s="10">
        <f t="shared" si="0"/>
        <v>0.03445156281347012</v>
      </c>
      <c r="J10" s="111"/>
      <c r="K10" s="112">
        <f t="shared" si="4"/>
        <v>2685.584461457177</v>
      </c>
      <c r="L10" s="48"/>
    </row>
    <row r="11" spans="1:12" ht="12.75">
      <c r="A11" s="7" t="s">
        <v>115</v>
      </c>
      <c r="B11" s="8" t="s">
        <v>116</v>
      </c>
      <c r="C11" s="3">
        <f>24+25</f>
        <v>49</v>
      </c>
      <c r="D11" s="4">
        <f t="shared" si="1"/>
        <v>0.03651266766020864</v>
      </c>
      <c r="E11" s="3">
        <v>4</v>
      </c>
      <c r="F11" s="4">
        <f t="shared" si="2"/>
        <v>0.006493506493506494</v>
      </c>
      <c r="G11" s="3">
        <v>4</v>
      </c>
      <c r="H11" s="4">
        <f t="shared" si="3"/>
        <v>0.0010715242432360033</v>
      </c>
      <c r="I11" s="10">
        <f t="shared" si="0"/>
        <v>0.014692566132317049</v>
      </c>
      <c r="J11" s="111"/>
      <c r="K11" s="112">
        <f t="shared" si="4"/>
        <v>1145.321839752797</v>
      </c>
      <c r="L11" s="48"/>
    </row>
    <row r="12" spans="1:12" ht="12.75">
      <c r="A12" s="7" t="s">
        <v>117</v>
      </c>
      <c r="B12" s="8" t="s">
        <v>118</v>
      </c>
      <c r="C12" s="3">
        <f>5+5</f>
        <v>10</v>
      </c>
      <c r="D12" s="4">
        <f t="shared" si="1"/>
        <v>0.007451564828614009</v>
      </c>
      <c r="E12" s="3">
        <v>39</v>
      </c>
      <c r="F12" s="4">
        <f t="shared" si="2"/>
        <v>0.0633116883116883</v>
      </c>
      <c r="G12" s="3">
        <v>131</v>
      </c>
      <c r="H12" s="4">
        <f t="shared" si="3"/>
        <v>0.0350924189659791</v>
      </c>
      <c r="I12" s="10">
        <f t="shared" si="0"/>
        <v>0.03528522403542714</v>
      </c>
      <c r="J12" s="111"/>
      <c r="K12" s="112">
        <f t="shared" si="4"/>
        <v>2750.5704139357044</v>
      </c>
      <c r="L12" s="48"/>
    </row>
    <row r="13" spans="1:12" ht="12.75">
      <c r="A13" s="7" t="s">
        <v>119</v>
      </c>
      <c r="B13" s="8" t="s">
        <v>120</v>
      </c>
      <c r="C13" s="3">
        <f>94+11</f>
        <v>105</v>
      </c>
      <c r="D13" s="4">
        <f t="shared" si="1"/>
        <v>0.07824143070044709</v>
      </c>
      <c r="E13" s="3">
        <v>25</v>
      </c>
      <c r="F13" s="4">
        <f t="shared" si="2"/>
        <v>0.040584415584415584</v>
      </c>
      <c r="G13" s="3">
        <v>73</v>
      </c>
      <c r="H13" s="4">
        <f t="shared" si="3"/>
        <v>0.019555317439057057</v>
      </c>
      <c r="I13" s="10">
        <f t="shared" si="0"/>
        <v>0.04612705457463991</v>
      </c>
      <c r="J13" s="111"/>
      <c r="K13" s="112">
        <f t="shared" si="4"/>
        <v>3595.7178978831516</v>
      </c>
      <c r="L13" s="48"/>
    </row>
    <row r="14" spans="1:12" ht="12.75">
      <c r="A14" s="7" t="s">
        <v>601</v>
      </c>
      <c r="B14" s="8" t="s">
        <v>602</v>
      </c>
      <c r="C14" s="3">
        <f>2</f>
        <v>2</v>
      </c>
      <c r="D14" s="4">
        <f t="shared" si="1"/>
        <v>0.0014903129657228018</v>
      </c>
      <c r="F14" s="4">
        <f t="shared" si="2"/>
        <v>0</v>
      </c>
      <c r="H14" s="4">
        <f t="shared" si="3"/>
        <v>0</v>
      </c>
      <c r="I14" s="10">
        <f t="shared" si="0"/>
        <v>0.0004967709885742673</v>
      </c>
      <c r="J14" s="111"/>
      <c r="K14" s="112">
        <f t="shared" si="4"/>
        <v>38.7245262295082</v>
      </c>
      <c r="L14" s="48"/>
    </row>
    <row r="15" spans="1:12" ht="12.75">
      <c r="A15" s="7" t="s">
        <v>121</v>
      </c>
      <c r="B15" s="8" t="s">
        <v>122</v>
      </c>
      <c r="D15" s="4">
        <f t="shared" si="1"/>
        <v>0</v>
      </c>
      <c r="E15" s="3">
        <v>40</v>
      </c>
      <c r="F15" s="4">
        <f t="shared" si="2"/>
        <v>0.06493506493506493</v>
      </c>
      <c r="G15" s="3">
        <v>112</v>
      </c>
      <c r="H15" s="4">
        <f t="shared" si="3"/>
        <v>0.03000267881060809</v>
      </c>
      <c r="I15" s="10">
        <f t="shared" si="0"/>
        <v>0.031645914581891005</v>
      </c>
      <c r="J15" s="111"/>
      <c r="K15" s="112">
        <f t="shared" si="4"/>
        <v>2466.8772482071104</v>
      </c>
      <c r="L15" s="48"/>
    </row>
    <row r="16" spans="1:12" ht="12.75">
      <c r="A16" s="7" t="s">
        <v>123</v>
      </c>
      <c r="B16" s="8" t="s">
        <v>124</v>
      </c>
      <c r="D16" s="4">
        <f t="shared" si="1"/>
        <v>0</v>
      </c>
      <c r="E16" s="3">
        <v>4</v>
      </c>
      <c r="F16" s="4">
        <f t="shared" si="2"/>
        <v>0.006493506493506494</v>
      </c>
      <c r="G16" s="3">
        <v>24</v>
      </c>
      <c r="H16" s="4">
        <f t="shared" si="3"/>
        <v>0.006429145459416019</v>
      </c>
      <c r="I16" s="10">
        <f t="shared" si="0"/>
        <v>0.004307550650974171</v>
      </c>
      <c r="J16" s="111"/>
      <c r="K16" s="112">
        <f t="shared" si="4"/>
        <v>335.78421849336036</v>
      </c>
      <c r="L16" s="48"/>
    </row>
    <row r="17" spans="1:12" ht="12.75">
      <c r="A17" s="7" t="s">
        <v>125</v>
      </c>
      <c r="B17" s="8" t="s">
        <v>126</v>
      </c>
      <c r="D17" s="4">
        <f t="shared" si="1"/>
        <v>0</v>
      </c>
      <c r="F17" s="4">
        <f t="shared" si="2"/>
        <v>0</v>
      </c>
      <c r="G17" s="3">
        <v>8</v>
      </c>
      <c r="H17" s="4">
        <f t="shared" si="3"/>
        <v>0.0021430484864720066</v>
      </c>
      <c r="I17" s="10">
        <f t="shared" si="0"/>
        <v>0.0007143494954906689</v>
      </c>
      <c r="J17" s="111"/>
      <c r="K17" s="112">
        <f t="shared" si="4"/>
        <v>55.685308545405846</v>
      </c>
      <c r="L17" s="48"/>
    </row>
    <row r="18" spans="1:12" ht="12.75">
      <c r="A18" s="7" t="s">
        <v>23</v>
      </c>
      <c r="B18" s="8" t="s">
        <v>127</v>
      </c>
      <c r="D18" s="4">
        <f t="shared" si="1"/>
        <v>0</v>
      </c>
      <c r="F18" s="4">
        <f t="shared" si="2"/>
        <v>0</v>
      </c>
      <c r="G18" s="3">
        <v>98</v>
      </c>
      <c r="H18" s="4">
        <f t="shared" si="3"/>
        <v>0.02625234395928208</v>
      </c>
      <c r="I18" s="10">
        <f t="shared" si="0"/>
        <v>0.008750781319760693</v>
      </c>
      <c r="J18" s="111"/>
      <c r="K18" s="112">
        <f t="shared" si="4"/>
        <v>682.1450296812216</v>
      </c>
      <c r="L18" s="48"/>
    </row>
    <row r="19" spans="1:12" ht="12.75">
      <c r="A19" s="7" t="s">
        <v>128</v>
      </c>
      <c r="B19" s="8" t="s">
        <v>129</v>
      </c>
      <c r="C19" s="3">
        <f>20+62</f>
        <v>82</v>
      </c>
      <c r="D19" s="4">
        <f t="shared" si="1"/>
        <v>0.06110283159463487</v>
      </c>
      <c r="E19" s="3">
        <v>12</v>
      </c>
      <c r="F19" s="4">
        <f t="shared" si="2"/>
        <v>0.01948051948051948</v>
      </c>
      <c r="G19" s="3">
        <v>97</v>
      </c>
      <c r="H19" s="4">
        <f t="shared" si="3"/>
        <v>0.025984462898473077</v>
      </c>
      <c r="I19" s="10">
        <f t="shared" si="0"/>
        <v>0.03552260465787581</v>
      </c>
      <c r="J19" s="111"/>
      <c r="K19" s="112">
        <f t="shared" si="4"/>
        <v>2769.0748200943103</v>
      </c>
      <c r="L19" s="48"/>
    </row>
    <row r="20" spans="1:12" ht="12.75">
      <c r="A20" s="7" t="s">
        <v>130</v>
      </c>
      <c r="B20" s="8" t="s">
        <v>131</v>
      </c>
      <c r="C20" s="3">
        <f>37+4</f>
        <v>41</v>
      </c>
      <c r="D20" s="4">
        <f t="shared" si="1"/>
        <v>0.030551415797317436</v>
      </c>
      <c r="E20" s="3">
        <v>20</v>
      </c>
      <c r="F20" s="4">
        <f t="shared" si="2"/>
        <v>0.032467532467532464</v>
      </c>
      <c r="G20" s="3">
        <v>103</v>
      </c>
      <c r="H20" s="4">
        <f t="shared" si="3"/>
        <v>0.02759174926332708</v>
      </c>
      <c r="I20" s="10">
        <f t="shared" si="0"/>
        <v>0.03020356584272566</v>
      </c>
      <c r="J20" s="111"/>
      <c r="K20" s="112">
        <f t="shared" si="4"/>
        <v>2354.442599512732</v>
      </c>
      <c r="L20" s="48"/>
    </row>
    <row r="21" spans="1:12" ht="12.75">
      <c r="A21" s="7" t="s">
        <v>132</v>
      </c>
      <c r="B21" s="8" t="s">
        <v>133</v>
      </c>
      <c r="C21" s="3">
        <f>70+39</f>
        <v>109</v>
      </c>
      <c r="D21" s="4">
        <f t="shared" si="1"/>
        <v>0.08122205663189269</v>
      </c>
      <c r="E21" s="3">
        <v>44</v>
      </c>
      <c r="F21" s="4">
        <f t="shared" si="2"/>
        <v>0.07142857142857142</v>
      </c>
      <c r="G21" s="3">
        <v>139</v>
      </c>
      <c r="H21" s="4">
        <f t="shared" si="3"/>
        <v>0.03723546745245111</v>
      </c>
      <c r="I21" s="10">
        <f t="shared" si="0"/>
        <v>0.06329536517097174</v>
      </c>
      <c r="J21" s="111"/>
      <c r="K21" s="112">
        <f t="shared" si="4"/>
        <v>4934.030136913195</v>
      </c>
      <c r="L21" s="48"/>
    </row>
    <row r="22" spans="1:12" ht="12.75">
      <c r="A22" s="7" t="s">
        <v>134</v>
      </c>
      <c r="B22" s="8" t="s">
        <v>135</v>
      </c>
      <c r="D22" s="4">
        <f t="shared" si="1"/>
        <v>0</v>
      </c>
      <c r="E22" s="3">
        <v>14</v>
      </c>
      <c r="F22" s="4">
        <f t="shared" si="2"/>
        <v>0.022727272727272728</v>
      </c>
      <c r="G22" s="3">
        <f>39+12</f>
        <v>51</v>
      </c>
      <c r="H22" s="4">
        <f t="shared" si="3"/>
        <v>0.013661934101259042</v>
      </c>
      <c r="I22" s="10">
        <f t="shared" si="0"/>
        <v>0.01212973560951059</v>
      </c>
      <c r="J22" s="111"/>
      <c r="K22" s="112">
        <f t="shared" si="4"/>
        <v>945.5428669769624</v>
      </c>
      <c r="L22" s="48"/>
    </row>
    <row r="23" spans="1:12" ht="12.75">
      <c r="A23" s="7" t="s">
        <v>136</v>
      </c>
      <c r="B23" s="8" t="s">
        <v>137</v>
      </c>
      <c r="C23" s="3">
        <f>70+6</f>
        <v>76</v>
      </c>
      <c r="D23" s="4">
        <f t="shared" si="1"/>
        <v>0.05663189269746647</v>
      </c>
      <c r="E23" s="3">
        <v>7</v>
      </c>
      <c r="F23" s="4">
        <f t="shared" si="2"/>
        <v>0.011363636363636364</v>
      </c>
      <c r="G23" s="3">
        <v>241</v>
      </c>
      <c r="H23" s="4">
        <f t="shared" si="3"/>
        <v>0.0645593356549692</v>
      </c>
      <c r="I23" s="10">
        <f t="shared" si="0"/>
        <v>0.04418495490535734</v>
      </c>
      <c r="J23" s="111"/>
      <c r="K23" s="112">
        <f t="shared" si="4"/>
        <v>3444.3264291516625</v>
      </c>
      <c r="L23" s="48"/>
    </row>
    <row r="24" spans="1:12" ht="12.75">
      <c r="A24" s="7" t="s">
        <v>138</v>
      </c>
      <c r="B24" s="8" t="s">
        <v>139</v>
      </c>
      <c r="C24" s="3">
        <f>11+9</f>
        <v>20</v>
      </c>
      <c r="D24" s="4">
        <f t="shared" si="1"/>
        <v>0.014903129657228018</v>
      </c>
      <c r="E24" s="3">
        <v>8</v>
      </c>
      <c r="F24" s="4">
        <f t="shared" si="2"/>
        <v>0.012987012987012988</v>
      </c>
      <c r="G24" s="3">
        <v>32</v>
      </c>
      <c r="H24" s="4">
        <f t="shared" si="3"/>
        <v>0.008572193945888026</v>
      </c>
      <c r="I24" s="10">
        <f t="shared" si="0"/>
        <v>0.012154112196709678</v>
      </c>
      <c r="J24" s="111"/>
      <c r="K24" s="112">
        <f t="shared" si="4"/>
        <v>947.4430821909912</v>
      </c>
      <c r="L24" s="48"/>
    </row>
    <row r="25" spans="1:12" ht="12.75">
      <c r="A25" s="7" t="s">
        <v>140</v>
      </c>
      <c r="B25" s="8" t="s">
        <v>141</v>
      </c>
      <c r="C25" s="3">
        <f>46+11</f>
        <v>57</v>
      </c>
      <c r="D25" s="4">
        <f t="shared" si="1"/>
        <v>0.042473919523099854</v>
      </c>
      <c r="E25" s="3">
        <v>14</v>
      </c>
      <c r="F25" s="4">
        <f t="shared" si="2"/>
        <v>0.022727272727272728</v>
      </c>
      <c r="G25" s="3">
        <v>69</v>
      </c>
      <c r="H25" s="4">
        <f t="shared" si="3"/>
        <v>0.018483793195821056</v>
      </c>
      <c r="I25" s="10">
        <f t="shared" si="0"/>
        <v>0.02789499514873121</v>
      </c>
      <c r="J25" s="111"/>
      <c r="K25" s="112">
        <f t="shared" si="4"/>
        <v>2174.483808745109</v>
      </c>
      <c r="L25" s="48"/>
    </row>
    <row r="26" spans="1:12" ht="12.75">
      <c r="A26" s="7" t="s">
        <v>142</v>
      </c>
      <c r="B26" s="8" t="s">
        <v>143</v>
      </c>
      <c r="D26" s="4">
        <f t="shared" si="1"/>
        <v>0</v>
      </c>
      <c r="E26" s="3">
        <v>11</v>
      </c>
      <c r="F26" s="4">
        <f t="shared" si="2"/>
        <v>0.017857142857142856</v>
      </c>
      <c r="G26" s="3">
        <v>37</v>
      </c>
      <c r="H26" s="4">
        <f t="shared" si="3"/>
        <v>0.00991159924993303</v>
      </c>
      <c r="I26" s="10">
        <f t="shared" si="0"/>
        <v>0.009256247369025295</v>
      </c>
      <c r="J26" s="111"/>
      <c r="K26" s="112">
        <f t="shared" si="4"/>
        <v>721.5473573796448</v>
      </c>
      <c r="L26" s="48"/>
    </row>
    <row r="27" spans="1:12" ht="12.75">
      <c r="A27" s="7" t="s">
        <v>144</v>
      </c>
      <c r="B27" s="8" t="s">
        <v>145</v>
      </c>
      <c r="C27" s="3">
        <f>14+20+1+1+1+1+1+1+1+1</f>
        <v>42</v>
      </c>
      <c r="D27" s="4">
        <f t="shared" si="1"/>
        <v>0.03129657228017884</v>
      </c>
      <c r="E27" s="3">
        <v>6</v>
      </c>
      <c r="F27" s="4">
        <f t="shared" si="2"/>
        <v>0.00974025974025974</v>
      </c>
      <c r="G27" s="3">
        <v>73</v>
      </c>
      <c r="H27" s="4">
        <f t="shared" si="3"/>
        <v>0.019555317439057057</v>
      </c>
      <c r="I27" s="10">
        <f t="shared" si="0"/>
        <v>0.020197383153165212</v>
      </c>
      <c r="J27" s="111"/>
      <c r="K27" s="112">
        <f t="shared" si="4"/>
        <v>1574.4359305822147</v>
      </c>
      <c r="L27" s="48"/>
    </row>
    <row r="28" spans="1:12" ht="12.75">
      <c r="A28" s="7" t="s">
        <v>146</v>
      </c>
      <c r="B28" s="8" t="s">
        <v>147</v>
      </c>
      <c r="D28" s="4">
        <f t="shared" si="1"/>
        <v>0</v>
      </c>
      <c r="F28" s="4">
        <f t="shared" si="2"/>
        <v>0</v>
      </c>
      <c r="H28" s="4">
        <f t="shared" si="3"/>
        <v>0</v>
      </c>
      <c r="I28" s="10">
        <f t="shared" si="0"/>
        <v>0</v>
      </c>
      <c r="J28" s="111"/>
      <c r="K28" s="112">
        <f t="shared" si="4"/>
        <v>0</v>
      </c>
      <c r="L28" s="48"/>
    </row>
    <row r="29" spans="1:12" ht="12.75">
      <c r="A29" s="7" t="s">
        <v>148</v>
      </c>
      <c r="B29" s="8" t="s">
        <v>149</v>
      </c>
      <c r="D29" s="4">
        <f t="shared" si="1"/>
        <v>0</v>
      </c>
      <c r="F29" s="4">
        <f t="shared" si="2"/>
        <v>0</v>
      </c>
      <c r="H29" s="4">
        <f t="shared" si="3"/>
        <v>0</v>
      </c>
      <c r="I29" s="10">
        <f t="shared" si="0"/>
        <v>0</v>
      </c>
      <c r="J29" s="111"/>
      <c r="K29" s="112">
        <f t="shared" si="4"/>
        <v>0</v>
      </c>
      <c r="L29" s="48"/>
    </row>
    <row r="30" spans="1:12" ht="12.75">
      <c r="A30" s="7" t="s">
        <v>150</v>
      </c>
      <c r="B30" s="8" t="s">
        <v>151</v>
      </c>
      <c r="D30" s="4">
        <f t="shared" si="1"/>
        <v>0</v>
      </c>
      <c r="F30" s="4">
        <f t="shared" si="2"/>
        <v>0</v>
      </c>
      <c r="G30" s="3">
        <v>10</v>
      </c>
      <c r="H30" s="4">
        <f t="shared" si="3"/>
        <v>0.002678810608090008</v>
      </c>
      <c r="I30" s="10">
        <f t="shared" si="0"/>
        <v>0.000892936869363336</v>
      </c>
      <c r="J30" s="111"/>
      <c r="K30" s="112">
        <f t="shared" si="4"/>
        <v>69.6066356817573</v>
      </c>
      <c r="L30" s="48"/>
    </row>
    <row r="31" spans="1:12" ht="12.75">
      <c r="A31" s="7" t="s">
        <v>152</v>
      </c>
      <c r="B31" s="8" t="s">
        <v>153</v>
      </c>
      <c r="C31" s="3">
        <f>123+102</f>
        <v>225</v>
      </c>
      <c r="D31" s="4">
        <f t="shared" si="1"/>
        <v>0.1676602086438152</v>
      </c>
      <c r="E31" s="3">
        <f>88+17+13</f>
        <v>118</v>
      </c>
      <c r="F31" s="4">
        <f t="shared" si="2"/>
        <v>0.19155844155844157</v>
      </c>
      <c r="G31" s="3">
        <v>1484</v>
      </c>
      <c r="H31" s="4">
        <f t="shared" si="3"/>
        <v>0.3975354942405572</v>
      </c>
      <c r="I31" s="10">
        <f t="shared" si="0"/>
        <v>0.25225138148093795</v>
      </c>
      <c r="J31" s="111"/>
      <c r="K31" s="112">
        <f t="shared" si="4"/>
        <v>19663.618575278168</v>
      </c>
      <c r="L31" s="48"/>
    </row>
    <row r="32" spans="1:12" ht="12.75">
      <c r="A32" s="7" t="s">
        <v>154</v>
      </c>
      <c r="B32" s="8" t="s">
        <v>155</v>
      </c>
      <c r="D32" s="4">
        <f t="shared" si="1"/>
        <v>0</v>
      </c>
      <c r="F32" s="4">
        <f t="shared" si="2"/>
        <v>0</v>
      </c>
      <c r="H32" s="4">
        <f t="shared" si="3"/>
        <v>0</v>
      </c>
      <c r="I32" s="10">
        <f t="shared" si="0"/>
        <v>0</v>
      </c>
      <c r="J32" s="111"/>
      <c r="K32" s="112">
        <f t="shared" si="4"/>
        <v>0</v>
      </c>
      <c r="L32" s="48"/>
    </row>
    <row r="33" spans="1:12" ht="12.75">
      <c r="A33" s="7" t="s">
        <v>156</v>
      </c>
      <c r="B33" s="8" t="s">
        <v>157</v>
      </c>
      <c r="D33" s="4">
        <f t="shared" si="1"/>
        <v>0</v>
      </c>
      <c r="F33" s="4">
        <f t="shared" si="2"/>
        <v>0</v>
      </c>
      <c r="G33" s="3">
        <v>1</v>
      </c>
      <c r="H33" s="4">
        <f t="shared" si="3"/>
        <v>0.0002678810608090008</v>
      </c>
      <c r="I33" s="10">
        <f t="shared" si="0"/>
        <v>8.929368693633361E-05</v>
      </c>
      <c r="J33" s="111"/>
      <c r="K33" s="112">
        <f t="shared" si="4"/>
        <v>6.960663568175731</v>
      </c>
      <c r="L33" s="48"/>
    </row>
    <row r="34" spans="1:12" ht="12.75">
      <c r="A34" s="7" t="s">
        <v>605</v>
      </c>
      <c r="B34" s="8" t="s">
        <v>606</v>
      </c>
      <c r="C34" s="3">
        <f>1</f>
        <v>1</v>
      </c>
      <c r="D34" s="4">
        <f t="shared" si="1"/>
        <v>0.0007451564828614009</v>
      </c>
      <c r="F34" s="4">
        <f t="shared" si="2"/>
        <v>0</v>
      </c>
      <c r="H34" s="4">
        <f t="shared" si="3"/>
        <v>0</v>
      </c>
      <c r="I34" s="10">
        <f t="shared" si="0"/>
        <v>0.00024838549428713363</v>
      </c>
      <c r="J34" s="111"/>
      <c r="K34" s="112">
        <f t="shared" si="4"/>
        <v>19.3622631147541</v>
      </c>
      <c r="L34" s="48"/>
    </row>
    <row r="35" spans="1:12" ht="12.75">
      <c r="A35" s="7" t="s">
        <v>158</v>
      </c>
      <c r="B35" s="8" t="s">
        <v>159</v>
      </c>
      <c r="D35" s="4">
        <f t="shared" si="1"/>
        <v>0</v>
      </c>
      <c r="F35" s="4">
        <f t="shared" si="2"/>
        <v>0</v>
      </c>
      <c r="G35" s="3">
        <v>15</v>
      </c>
      <c r="H35" s="4">
        <f t="shared" si="3"/>
        <v>0.004018215912135012</v>
      </c>
      <c r="I35" s="10">
        <f t="shared" si="0"/>
        <v>0.001339405304045004</v>
      </c>
      <c r="J35" s="111"/>
      <c r="K35" s="112">
        <f t="shared" si="4"/>
        <v>104.40995352263594</v>
      </c>
      <c r="L35" s="48"/>
    </row>
    <row r="36" spans="1:12" ht="12.75">
      <c r="A36" s="7" t="s">
        <v>160</v>
      </c>
      <c r="B36" s="8" t="s">
        <v>161</v>
      </c>
      <c r="C36" s="3">
        <f>94+43</f>
        <v>137</v>
      </c>
      <c r="D36" s="4">
        <f t="shared" si="1"/>
        <v>0.10208643815201192</v>
      </c>
      <c r="E36" s="3">
        <v>44</v>
      </c>
      <c r="F36" s="4">
        <f t="shared" si="2"/>
        <v>0.07142857142857142</v>
      </c>
      <c r="G36" s="3">
        <v>223</v>
      </c>
      <c r="H36" s="4">
        <f t="shared" si="3"/>
        <v>0.05973747656040718</v>
      </c>
      <c r="I36" s="10">
        <f t="shared" si="0"/>
        <v>0.07775082871366351</v>
      </c>
      <c r="J36" s="111"/>
      <c r="K36" s="112">
        <f t="shared" si="4"/>
        <v>6060.869243853072</v>
      </c>
      <c r="L36" s="48"/>
    </row>
    <row r="37" spans="1:12" ht="12.75">
      <c r="A37" s="7" t="s">
        <v>162</v>
      </c>
      <c r="B37" s="8" t="s">
        <v>163</v>
      </c>
      <c r="C37" s="3">
        <f>38+27</f>
        <v>65</v>
      </c>
      <c r="D37" s="4">
        <f t="shared" si="1"/>
        <v>0.04843517138599106</v>
      </c>
      <c r="F37" s="4">
        <f t="shared" si="2"/>
        <v>0</v>
      </c>
      <c r="H37" s="4">
        <f t="shared" si="3"/>
        <v>0</v>
      </c>
      <c r="I37" s="10">
        <f t="shared" si="0"/>
        <v>0.016145057128663685</v>
      </c>
      <c r="J37" s="111"/>
      <c r="K37" s="112">
        <f t="shared" si="4"/>
        <v>1258.5471024590163</v>
      </c>
      <c r="L37" s="48"/>
    </row>
    <row r="38" spans="1:12" ht="12.75">
      <c r="A38" s="7" t="s">
        <v>164</v>
      </c>
      <c r="B38" s="8" t="s">
        <v>165</v>
      </c>
      <c r="D38" s="4">
        <f t="shared" si="1"/>
        <v>0</v>
      </c>
      <c r="E38" s="3">
        <v>41</v>
      </c>
      <c r="F38" s="4">
        <f t="shared" si="2"/>
        <v>0.06655844155844155</v>
      </c>
      <c r="G38" s="3">
        <v>92</v>
      </c>
      <c r="H38" s="4">
        <f t="shared" si="3"/>
        <v>0.024645057594428074</v>
      </c>
      <c r="I38" s="10">
        <f t="shared" si="0"/>
        <v>0.030401166384289875</v>
      </c>
      <c r="J38" s="111"/>
      <c r="K38" s="112">
        <f t="shared" si="4"/>
        <v>2369.8460500578813</v>
      </c>
      <c r="L38" s="48"/>
    </row>
    <row r="39" spans="1:12" ht="12.75">
      <c r="A39" s="7" t="s">
        <v>166</v>
      </c>
      <c r="B39" s="8" t="s">
        <v>167</v>
      </c>
      <c r="C39" s="3">
        <f>21+109</f>
        <v>130</v>
      </c>
      <c r="D39" s="4">
        <f t="shared" si="1"/>
        <v>0.09687034277198212</v>
      </c>
      <c r="E39" s="3">
        <v>43</v>
      </c>
      <c r="F39" s="4">
        <f t="shared" si="2"/>
        <v>0.0698051948051948</v>
      </c>
      <c r="G39" s="3">
        <v>179</v>
      </c>
      <c r="H39" s="4">
        <f t="shared" si="3"/>
        <v>0.04795070988481114</v>
      </c>
      <c r="I39" s="10">
        <f t="shared" si="0"/>
        <v>0.07154208248732935</v>
      </c>
      <c r="J39" s="111"/>
      <c r="K39" s="112">
        <f t="shared" si="4"/>
        <v>5576.882131835774</v>
      </c>
      <c r="L39" s="48"/>
    </row>
    <row r="40" spans="1:12" ht="12.75">
      <c r="A40" s="7" t="s">
        <v>168</v>
      </c>
      <c r="B40" s="8" t="s">
        <v>169</v>
      </c>
      <c r="D40" s="4">
        <f t="shared" si="1"/>
        <v>0</v>
      </c>
      <c r="F40" s="4">
        <f t="shared" si="2"/>
        <v>0</v>
      </c>
      <c r="G40" s="3">
        <v>10</v>
      </c>
      <c r="H40" s="4">
        <f t="shared" si="3"/>
        <v>0.002678810608090008</v>
      </c>
      <c r="I40" s="10">
        <f t="shared" si="0"/>
        <v>0.000892936869363336</v>
      </c>
      <c r="J40" s="111"/>
      <c r="K40" s="112">
        <f t="shared" si="4"/>
        <v>69.6066356817573</v>
      </c>
      <c r="L40" s="48"/>
    </row>
    <row r="41" spans="1:12" ht="12.75">
      <c r="A41" s="7" t="s">
        <v>569</v>
      </c>
      <c r="B41" s="8" t="s">
        <v>570</v>
      </c>
      <c r="D41" s="4">
        <f t="shared" si="1"/>
        <v>0</v>
      </c>
      <c r="F41" s="4">
        <f t="shared" si="2"/>
        <v>0</v>
      </c>
      <c r="G41" s="3">
        <v>68</v>
      </c>
      <c r="H41" s="4">
        <f t="shared" si="3"/>
        <v>0.018215912135012054</v>
      </c>
      <c r="I41" s="10">
        <f t="shared" si="0"/>
        <v>0.0060719707116706845</v>
      </c>
      <c r="J41" s="111"/>
      <c r="K41" s="112">
        <f t="shared" si="4"/>
        <v>473.32512263594964</v>
      </c>
      <c r="L41" s="48"/>
    </row>
    <row r="42" spans="1:12" ht="12.75">
      <c r="A42" s="7" t="s">
        <v>583</v>
      </c>
      <c r="B42" s="8" t="s">
        <v>584</v>
      </c>
      <c r="C42" s="3">
        <f>3+6</f>
        <v>9</v>
      </c>
      <c r="D42" s="4">
        <f t="shared" si="1"/>
        <v>0.0067064083457526085</v>
      </c>
      <c r="E42" s="3">
        <v>6</v>
      </c>
      <c r="F42" s="4">
        <f t="shared" si="2"/>
        <v>0.00974025974025974</v>
      </c>
      <c r="G42" s="3">
        <v>20</v>
      </c>
      <c r="H42" s="4">
        <f t="shared" si="3"/>
        <v>0.005357621216180016</v>
      </c>
      <c r="I42" s="10">
        <f t="shared" si="0"/>
        <v>0.0072680964340641205</v>
      </c>
      <c r="J42" s="111"/>
      <c r="K42" s="112">
        <f t="shared" si="4"/>
        <v>566.5660786820157</v>
      </c>
      <c r="L42" s="48"/>
    </row>
    <row r="43" spans="1:12" ht="12.75">
      <c r="A43" s="7" t="s">
        <v>607</v>
      </c>
      <c r="B43" s="8" t="s">
        <v>608</v>
      </c>
      <c r="C43" s="3">
        <f>2</f>
        <v>2</v>
      </c>
      <c r="D43" s="4">
        <f t="shared" si="1"/>
        <v>0.0014903129657228018</v>
      </c>
      <c r="F43" s="4">
        <f t="shared" si="2"/>
        <v>0</v>
      </c>
      <c r="H43" s="4">
        <f t="shared" si="3"/>
        <v>0</v>
      </c>
      <c r="I43" s="10">
        <f t="shared" si="0"/>
        <v>0.0004967709885742673</v>
      </c>
      <c r="J43" s="111"/>
      <c r="K43" s="112">
        <f t="shared" si="4"/>
        <v>38.7245262295082</v>
      </c>
      <c r="L43" s="48"/>
    </row>
    <row r="44" spans="1:12" ht="12.75">
      <c r="A44" s="7" t="s">
        <v>170</v>
      </c>
      <c r="B44" s="8" t="s">
        <v>171</v>
      </c>
      <c r="C44" s="3">
        <f>1</f>
        <v>1</v>
      </c>
      <c r="D44" s="4">
        <f t="shared" si="1"/>
        <v>0.0007451564828614009</v>
      </c>
      <c r="F44" s="4">
        <f t="shared" si="2"/>
        <v>0</v>
      </c>
      <c r="G44" s="3">
        <v>4</v>
      </c>
      <c r="H44" s="4">
        <f t="shared" si="3"/>
        <v>0.0010715242432360033</v>
      </c>
      <c r="I44" s="10">
        <f t="shared" si="0"/>
        <v>0.0006055602420324681</v>
      </c>
      <c r="J44" s="111"/>
      <c r="K44" s="112">
        <f t="shared" si="4"/>
        <v>47.20491738745702</v>
      </c>
      <c r="L44" s="48"/>
    </row>
    <row r="45" spans="1:12" ht="12.75">
      <c r="A45" s="7" t="s">
        <v>549</v>
      </c>
      <c r="B45" s="8" t="s">
        <v>550</v>
      </c>
      <c r="D45" s="4">
        <f t="shared" si="1"/>
        <v>0</v>
      </c>
      <c r="F45" s="4">
        <f t="shared" si="2"/>
        <v>0</v>
      </c>
      <c r="G45" s="3">
        <v>3</v>
      </c>
      <c r="H45" s="4">
        <f t="shared" si="3"/>
        <v>0.0008036431824270024</v>
      </c>
      <c r="I45" s="10">
        <f t="shared" si="0"/>
        <v>0.00026788106080900077</v>
      </c>
      <c r="J45" s="111"/>
      <c r="K45" s="112">
        <f t="shared" si="4"/>
        <v>20.88199070452719</v>
      </c>
      <c r="L45" s="48"/>
    </row>
    <row r="46" spans="1:12" ht="12.75">
      <c r="A46" s="7" t="s">
        <v>172</v>
      </c>
      <c r="B46" s="8" t="s">
        <v>173</v>
      </c>
      <c r="C46" s="3">
        <f>76+91</f>
        <v>167</v>
      </c>
      <c r="D46" s="4">
        <f t="shared" si="1"/>
        <v>0.12444113263785395</v>
      </c>
      <c r="E46" s="3">
        <v>58</v>
      </c>
      <c r="F46" s="4">
        <f t="shared" si="2"/>
        <v>0.09415584415584416</v>
      </c>
      <c r="G46" s="3">
        <v>186</v>
      </c>
      <c r="H46" s="4">
        <f t="shared" si="3"/>
        <v>0.04982587731047415</v>
      </c>
      <c r="I46" s="10">
        <f t="shared" si="0"/>
        <v>0.08947428470139075</v>
      </c>
      <c r="J46" s="111"/>
      <c r="K46" s="112">
        <f t="shared" si="4"/>
        <v>6974.741610273192</v>
      </c>
      <c r="L46" s="48"/>
    </row>
    <row r="47" spans="1:12" ht="12.75">
      <c r="A47" s="7" t="s">
        <v>174</v>
      </c>
      <c r="B47" s="8" t="s">
        <v>175</v>
      </c>
      <c r="D47" s="4">
        <f t="shared" si="1"/>
        <v>0</v>
      </c>
      <c r="F47" s="4">
        <f t="shared" si="2"/>
        <v>0</v>
      </c>
      <c r="G47" s="3">
        <v>9</v>
      </c>
      <c r="H47" s="4">
        <f t="shared" si="3"/>
        <v>0.0024109295472810074</v>
      </c>
      <c r="I47" s="10">
        <f t="shared" si="0"/>
        <v>0.0008036431824270025</v>
      </c>
      <c r="J47" s="111"/>
      <c r="K47" s="112">
        <f t="shared" si="4"/>
        <v>62.64597211358158</v>
      </c>
      <c r="L47" s="48"/>
    </row>
    <row r="48" spans="1:12" ht="12.75">
      <c r="A48" s="7" t="s">
        <v>592</v>
      </c>
      <c r="B48" s="8" t="s">
        <v>593</v>
      </c>
      <c r="D48" s="4">
        <f t="shared" si="1"/>
        <v>0</v>
      </c>
      <c r="F48" s="4">
        <f t="shared" si="2"/>
        <v>0</v>
      </c>
      <c r="H48" s="4">
        <f t="shared" si="3"/>
        <v>0</v>
      </c>
      <c r="I48" s="10">
        <f t="shared" si="0"/>
        <v>0</v>
      </c>
      <c r="J48" s="111"/>
      <c r="K48" s="112">
        <f t="shared" si="4"/>
        <v>0</v>
      </c>
      <c r="L48" s="48"/>
    </row>
    <row r="49" spans="1:12" ht="13.5" thickBot="1">
      <c r="A49" s="14" t="s">
        <v>176</v>
      </c>
      <c r="B49" s="17"/>
      <c r="C49" s="1">
        <f>SUM(C7:C48)</f>
        <v>1342</v>
      </c>
      <c r="D49" s="15">
        <f>SUM(D7:D48)</f>
        <v>1</v>
      </c>
      <c r="E49" s="1">
        <f>SUM(E7:E47)</f>
        <v>616</v>
      </c>
      <c r="F49" s="15">
        <f>SUM(F7:F48)</f>
        <v>0.9999999999999998</v>
      </c>
      <c r="G49" s="1">
        <f>SUM(G7:G47)</f>
        <v>3733</v>
      </c>
      <c r="H49" s="15">
        <f>SUM(H7:H48)</f>
        <v>0.9999999999999999</v>
      </c>
      <c r="I49" s="10">
        <f t="shared" si="0"/>
        <v>0.9999999999999999</v>
      </c>
      <c r="J49" s="113"/>
      <c r="K49" s="114">
        <f>'FY12 to FY11 Comparison'!K10:L10</f>
        <v>77952.4713</v>
      </c>
      <c r="L49" s="66"/>
    </row>
    <row r="51" ht="12.75">
      <c r="K51" s="76">
        <f>SUM(K7:K48)</f>
        <v>77952.47129999999</v>
      </c>
    </row>
  </sheetData>
  <mergeCells count="2">
    <mergeCell ref="J3:L4"/>
    <mergeCell ref="J5:L5"/>
  </mergeCells>
  <printOptions/>
  <pageMargins left="0.25" right="0.25" top="0.25" bottom="0.25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workbookViewId="0" topLeftCell="A1">
      <pane xSplit="1" ySplit="5" topLeftCell="B6" activePane="bottomRight" state="frozen"/>
      <selection pane="topLeft" activeCell="R47" sqref="A1:R47"/>
      <selection pane="topRight" activeCell="R47" sqref="A1:R47"/>
      <selection pane="bottomLeft" activeCell="R47" sqref="A1:R47"/>
      <selection pane="bottomRight" activeCell="I1" sqref="B1:I16384"/>
    </sheetView>
  </sheetViews>
  <sheetFormatPr defaultColWidth="9.140625" defaultRowHeight="12.75"/>
  <cols>
    <col min="1" max="1" width="47.57421875" style="7" bestFit="1" customWidth="1"/>
    <col min="2" max="2" width="8.140625" style="8" hidden="1" customWidth="1"/>
    <col min="3" max="3" width="7.28125" style="3" hidden="1" customWidth="1"/>
    <col min="4" max="4" width="7.00390625" style="4" hidden="1" customWidth="1"/>
    <col min="5" max="5" width="11.7109375" style="3" hidden="1" customWidth="1"/>
    <col min="6" max="6" width="7.00390625" style="4" hidden="1" customWidth="1"/>
    <col min="7" max="7" width="14.00390625" style="3" hidden="1" customWidth="1"/>
    <col min="8" max="8" width="7.00390625" style="4" hidden="1" customWidth="1"/>
    <col min="9" max="9" width="8.57421875" style="5" hidden="1" customWidth="1"/>
    <col min="10" max="16384" width="8.8515625" style="7" customWidth="1"/>
  </cols>
  <sheetData>
    <row r="1" spans="1:2" ht="12.75" customHeight="1">
      <c r="A1" s="1" t="s">
        <v>0</v>
      </c>
      <c r="B1" s="2"/>
    </row>
    <row r="2" spans="1:2" ht="13.5" thickBot="1">
      <c r="A2" s="1" t="s">
        <v>596</v>
      </c>
      <c r="B2" s="2"/>
    </row>
    <row r="3" spans="7:12" ht="12.75">
      <c r="G3" s="3" t="s">
        <v>597</v>
      </c>
      <c r="J3" s="135" t="s">
        <v>1</v>
      </c>
      <c r="K3" s="136"/>
      <c r="L3" s="137"/>
    </row>
    <row r="4" spans="3:12" ht="13.5" thickBot="1">
      <c r="C4" s="3" t="s">
        <v>2</v>
      </c>
      <c r="D4" s="4" t="s">
        <v>3</v>
      </c>
      <c r="E4" s="3" t="s">
        <v>4</v>
      </c>
      <c r="F4" s="4" t="s">
        <v>3</v>
      </c>
      <c r="G4" s="3" t="s">
        <v>4</v>
      </c>
      <c r="H4" s="4" t="s">
        <v>3</v>
      </c>
      <c r="I4" s="10" t="s">
        <v>5</v>
      </c>
      <c r="J4" s="138"/>
      <c r="K4" s="139"/>
      <c r="L4" s="140"/>
    </row>
    <row r="5" spans="1:12" ht="12.75">
      <c r="A5" s="11" t="s">
        <v>6</v>
      </c>
      <c r="B5" s="12" t="s">
        <v>7</v>
      </c>
      <c r="C5" s="13" t="s">
        <v>8</v>
      </c>
      <c r="D5" s="4" t="s">
        <v>9</v>
      </c>
      <c r="E5" s="13" t="s">
        <v>10</v>
      </c>
      <c r="F5" s="4" t="s">
        <v>9</v>
      </c>
      <c r="G5" s="13" t="s">
        <v>11</v>
      </c>
      <c r="H5" s="4" t="s">
        <v>9</v>
      </c>
      <c r="I5" s="10" t="s">
        <v>12</v>
      </c>
      <c r="J5" s="141" t="s">
        <v>622</v>
      </c>
      <c r="K5" s="142"/>
      <c r="L5" s="143"/>
    </row>
    <row r="6" spans="1:12" ht="12.75">
      <c r="A6" s="1" t="s">
        <v>177</v>
      </c>
      <c r="B6" s="2"/>
      <c r="J6" s="111"/>
      <c r="K6" s="112"/>
      <c r="L6" s="48"/>
    </row>
    <row r="7" spans="1:12" ht="12.75">
      <c r="A7" s="3" t="s">
        <v>178</v>
      </c>
      <c r="B7" s="18" t="s">
        <v>179</v>
      </c>
      <c r="C7" s="3">
        <f>27+5</f>
        <v>32</v>
      </c>
      <c r="D7" s="4">
        <f>C7/$C$54</f>
        <v>0.020138451856513532</v>
      </c>
      <c r="F7" s="4">
        <f>E7/$E$54</f>
        <v>0</v>
      </c>
      <c r="G7" s="3">
        <v>548</v>
      </c>
      <c r="H7" s="4">
        <f>G7/$G$54</f>
        <v>0.08628562431113211</v>
      </c>
      <c r="I7" s="10">
        <f aca="true" t="shared" si="0" ref="I7:I54">+(D7+F7+H7)/3</f>
        <v>0.03547469205588188</v>
      </c>
      <c r="J7" s="111"/>
      <c r="K7" s="112">
        <f>I7*$K$54</f>
        <v>4327.03325442943</v>
      </c>
      <c r="L7" s="48"/>
    </row>
    <row r="8" spans="1:12" ht="12.75">
      <c r="A8" s="3" t="s">
        <v>603</v>
      </c>
      <c r="B8" s="18" t="s">
        <v>604</v>
      </c>
      <c r="C8" s="3">
        <f>1</f>
        <v>1</v>
      </c>
      <c r="D8" s="4">
        <f aca="true" t="shared" si="1" ref="D8:D53">C8/$C$54</f>
        <v>0.0006293266205160479</v>
      </c>
      <c r="F8" s="4">
        <f aca="true" t="shared" si="2" ref="F8:F53">E8/$E$54</f>
        <v>0</v>
      </c>
      <c r="H8" s="4">
        <f aca="true" t="shared" si="3" ref="H8:H53">G8/$G$54</f>
        <v>0</v>
      </c>
      <c r="I8" s="10">
        <f t="shared" si="0"/>
        <v>0.00020977554017201597</v>
      </c>
      <c r="J8" s="111"/>
      <c r="K8" s="112">
        <f aca="true" t="shared" si="4" ref="K8:K53">I8*$K$54</f>
        <v>25.587416991818756</v>
      </c>
      <c r="L8" s="48"/>
    </row>
    <row r="9" spans="1:12" ht="12.75">
      <c r="A9" s="3" t="s">
        <v>180</v>
      </c>
      <c r="B9" s="18" t="s">
        <v>181</v>
      </c>
      <c r="C9" s="3">
        <f>25+11</f>
        <v>36</v>
      </c>
      <c r="D9" s="4">
        <f t="shared" si="1"/>
        <v>0.022655758338577723</v>
      </c>
      <c r="F9" s="4">
        <f t="shared" si="2"/>
        <v>0</v>
      </c>
      <c r="G9" s="3">
        <v>39</v>
      </c>
      <c r="H9" s="4">
        <f t="shared" si="3"/>
        <v>0.006140765233821445</v>
      </c>
      <c r="I9" s="10">
        <f t="shared" si="0"/>
        <v>0.009598841190799722</v>
      </c>
      <c r="J9" s="111"/>
      <c r="K9" s="112">
        <f t="shared" si="4"/>
        <v>1170.8207352765662</v>
      </c>
      <c r="L9" s="48"/>
    </row>
    <row r="10" spans="1:12" ht="12.75">
      <c r="A10" s="3" t="s">
        <v>182</v>
      </c>
      <c r="B10" s="18" t="s">
        <v>183</v>
      </c>
      <c r="D10" s="4">
        <f t="shared" si="1"/>
        <v>0</v>
      </c>
      <c r="F10" s="4">
        <f t="shared" si="2"/>
        <v>0</v>
      </c>
      <c r="G10" s="3">
        <v>147</v>
      </c>
      <c r="H10" s="4">
        <f t="shared" si="3"/>
        <v>0.023145961265942372</v>
      </c>
      <c r="I10" s="10">
        <f t="shared" si="0"/>
        <v>0.007715320421980791</v>
      </c>
      <c r="J10" s="111"/>
      <c r="K10" s="112">
        <f t="shared" si="4"/>
        <v>941.0778811525744</v>
      </c>
      <c r="L10" s="48"/>
    </row>
    <row r="11" spans="1:12" ht="12.75">
      <c r="A11" s="3" t="s">
        <v>184</v>
      </c>
      <c r="B11" s="18" t="s">
        <v>185</v>
      </c>
      <c r="C11" s="3">
        <f>258+20+1</f>
        <v>279</v>
      </c>
      <c r="D11" s="4">
        <f t="shared" si="1"/>
        <v>0.17558212712397733</v>
      </c>
      <c r="F11" s="4">
        <f t="shared" si="2"/>
        <v>0</v>
      </c>
      <c r="G11" s="3">
        <v>30</v>
      </c>
      <c r="H11" s="4">
        <f t="shared" si="3"/>
        <v>0.004723665564478035</v>
      </c>
      <c r="I11" s="10">
        <f t="shared" si="0"/>
        <v>0.06010193089615179</v>
      </c>
      <c r="J11" s="111"/>
      <c r="K11" s="112">
        <f t="shared" si="4"/>
        <v>7330.946051156732</v>
      </c>
      <c r="L11" s="48"/>
    </row>
    <row r="12" spans="1:12" ht="12.75">
      <c r="A12" s="3" t="s">
        <v>186</v>
      </c>
      <c r="B12" s="18" t="s">
        <v>187</v>
      </c>
      <c r="D12" s="4">
        <f t="shared" si="1"/>
        <v>0</v>
      </c>
      <c r="F12" s="4">
        <f t="shared" si="2"/>
        <v>0</v>
      </c>
      <c r="G12" s="3">
        <v>37</v>
      </c>
      <c r="H12" s="4">
        <f t="shared" si="3"/>
        <v>0.005825854196189577</v>
      </c>
      <c r="I12" s="10">
        <f t="shared" si="0"/>
        <v>0.001941951398729859</v>
      </c>
      <c r="J12" s="111"/>
      <c r="K12" s="112">
        <f t="shared" si="4"/>
        <v>236.86994287513778</v>
      </c>
      <c r="L12" s="48"/>
    </row>
    <row r="13" spans="1:12" ht="12.75">
      <c r="A13" s="3" t="s">
        <v>188</v>
      </c>
      <c r="B13" s="18" t="s">
        <v>189</v>
      </c>
      <c r="D13" s="4">
        <f t="shared" si="1"/>
        <v>0</v>
      </c>
      <c r="E13" s="3">
        <v>4</v>
      </c>
      <c r="F13" s="4">
        <f t="shared" si="2"/>
        <v>0.003683241252302026</v>
      </c>
      <c r="G13" s="3">
        <v>134</v>
      </c>
      <c r="H13" s="4">
        <f t="shared" si="3"/>
        <v>0.02109903952133522</v>
      </c>
      <c r="I13" s="10">
        <f t="shared" si="0"/>
        <v>0.008260760257879083</v>
      </c>
      <c r="J13" s="111"/>
      <c r="K13" s="112">
        <f t="shared" si="4"/>
        <v>1007.608023387625</v>
      </c>
      <c r="L13" s="48"/>
    </row>
    <row r="14" spans="1:12" ht="12.75">
      <c r="A14" s="3" t="s">
        <v>190</v>
      </c>
      <c r="B14" s="18" t="s">
        <v>191</v>
      </c>
      <c r="C14" s="3">
        <f>2+2</f>
        <v>4</v>
      </c>
      <c r="D14" s="4">
        <f t="shared" si="1"/>
        <v>0.0025173064820641915</v>
      </c>
      <c r="E14" s="3">
        <v>36</v>
      </c>
      <c r="F14" s="4">
        <f t="shared" si="2"/>
        <v>0.03314917127071823</v>
      </c>
      <c r="G14" s="3">
        <f>197+222</f>
        <v>419</v>
      </c>
      <c r="H14" s="4">
        <f t="shared" si="3"/>
        <v>0.06597386238387655</v>
      </c>
      <c r="I14" s="10">
        <f t="shared" si="0"/>
        <v>0.03388011337888632</v>
      </c>
      <c r="J14" s="111"/>
      <c r="K14" s="112">
        <f t="shared" si="4"/>
        <v>4132.53417459824</v>
      </c>
      <c r="L14" s="48"/>
    </row>
    <row r="15" spans="1:12" ht="12.75">
      <c r="A15" s="3" t="s">
        <v>192</v>
      </c>
      <c r="B15" s="18" t="s">
        <v>193</v>
      </c>
      <c r="C15" s="3">
        <f>2</f>
        <v>2</v>
      </c>
      <c r="D15" s="4">
        <f t="shared" si="1"/>
        <v>0.0012586532410320957</v>
      </c>
      <c r="E15" s="3">
        <v>13</v>
      </c>
      <c r="F15" s="4">
        <f t="shared" si="2"/>
        <v>0.011970534069981584</v>
      </c>
      <c r="G15" s="3">
        <v>99</v>
      </c>
      <c r="H15" s="4">
        <f t="shared" si="3"/>
        <v>0.015588096362777516</v>
      </c>
      <c r="I15" s="10">
        <f t="shared" si="0"/>
        <v>0.009605761224597066</v>
      </c>
      <c r="J15" s="111"/>
      <c r="K15" s="112">
        <f t="shared" si="4"/>
        <v>1171.6648078992605</v>
      </c>
      <c r="L15" s="48"/>
    </row>
    <row r="16" spans="1:12" ht="12.75">
      <c r="A16" s="3" t="s">
        <v>194</v>
      </c>
      <c r="B16" s="18" t="s">
        <v>195</v>
      </c>
      <c r="D16" s="4">
        <f t="shared" si="1"/>
        <v>0</v>
      </c>
      <c r="E16" s="3">
        <v>19</v>
      </c>
      <c r="F16" s="4">
        <f t="shared" si="2"/>
        <v>0.017495395948434623</v>
      </c>
      <c r="G16" s="3">
        <v>268</v>
      </c>
      <c r="H16" s="4">
        <f t="shared" si="3"/>
        <v>0.04219807904267044</v>
      </c>
      <c r="I16" s="10">
        <f t="shared" si="0"/>
        <v>0.019897824997035022</v>
      </c>
      <c r="J16" s="111"/>
      <c r="K16" s="112">
        <f t="shared" si="4"/>
        <v>2427.041517861806</v>
      </c>
      <c r="L16" s="48"/>
    </row>
    <row r="17" spans="1:12" ht="12.75">
      <c r="A17" s="3" t="s">
        <v>612</v>
      </c>
      <c r="B17" s="18" t="s">
        <v>613</v>
      </c>
      <c r="D17" s="4">
        <f t="shared" si="1"/>
        <v>0</v>
      </c>
      <c r="E17" s="3">
        <v>11</v>
      </c>
      <c r="F17" s="4">
        <f t="shared" si="2"/>
        <v>0.010128913443830571</v>
      </c>
      <c r="G17" s="3">
        <v>11</v>
      </c>
      <c r="H17" s="4">
        <f t="shared" si="3"/>
        <v>0.0017320107069752795</v>
      </c>
      <c r="I17" s="10">
        <f t="shared" si="0"/>
        <v>0.0039536413836019505</v>
      </c>
      <c r="J17" s="111"/>
      <c r="K17" s="112">
        <f t="shared" si="4"/>
        <v>482.24626491429984</v>
      </c>
      <c r="L17" s="48"/>
    </row>
    <row r="18" spans="1:12" ht="12" customHeight="1">
      <c r="A18" s="3" t="s">
        <v>83</v>
      </c>
      <c r="B18" s="18" t="s">
        <v>196</v>
      </c>
      <c r="C18" s="3">
        <f>6+4+1</f>
        <v>11</v>
      </c>
      <c r="D18" s="4">
        <f t="shared" si="1"/>
        <v>0.006922592825676526</v>
      </c>
      <c r="E18" s="3">
        <f>17+6+39+2</f>
        <v>64</v>
      </c>
      <c r="F18" s="4">
        <f t="shared" si="2"/>
        <v>0.058931860036832415</v>
      </c>
      <c r="G18" s="3">
        <v>169</v>
      </c>
      <c r="H18" s="4">
        <f t="shared" si="3"/>
        <v>0.02660998267989293</v>
      </c>
      <c r="I18" s="10">
        <f t="shared" si="0"/>
        <v>0.03082147851413396</v>
      </c>
      <c r="J18" s="111"/>
      <c r="K18" s="112">
        <f t="shared" si="4"/>
        <v>3759.4565238580317</v>
      </c>
      <c r="L18" s="48"/>
    </row>
    <row r="19" spans="1:12" ht="12" customHeight="1">
      <c r="A19" s="3" t="s">
        <v>197</v>
      </c>
      <c r="B19" s="18" t="s">
        <v>198</v>
      </c>
      <c r="C19" s="19"/>
      <c r="D19" s="4">
        <f t="shared" si="1"/>
        <v>0</v>
      </c>
      <c r="E19" s="19"/>
      <c r="F19" s="4">
        <f t="shared" si="2"/>
        <v>0</v>
      </c>
      <c r="G19" s="3">
        <v>4</v>
      </c>
      <c r="H19" s="4">
        <f t="shared" si="3"/>
        <v>0.000629822075263738</v>
      </c>
      <c r="I19" s="10">
        <f t="shared" si="0"/>
        <v>0.00020994069175457933</v>
      </c>
      <c r="J19" s="111"/>
      <c r="K19" s="112">
        <f t="shared" si="4"/>
        <v>25.607561391906785</v>
      </c>
      <c r="L19" s="48"/>
    </row>
    <row r="20" spans="1:12" ht="12" customHeight="1">
      <c r="A20" s="3" t="s">
        <v>199</v>
      </c>
      <c r="B20" s="18" t="s">
        <v>200</v>
      </c>
      <c r="D20" s="4">
        <f t="shared" si="1"/>
        <v>0</v>
      </c>
      <c r="F20" s="4">
        <f t="shared" si="2"/>
        <v>0</v>
      </c>
      <c r="G20" s="3">
        <v>15</v>
      </c>
      <c r="H20" s="4">
        <f t="shared" si="3"/>
        <v>0.0023618327822390174</v>
      </c>
      <c r="I20" s="10">
        <f t="shared" si="0"/>
        <v>0.0007872775940796725</v>
      </c>
      <c r="J20" s="111"/>
      <c r="K20" s="112">
        <f t="shared" si="4"/>
        <v>96.02835521965044</v>
      </c>
      <c r="L20" s="48"/>
    </row>
    <row r="21" spans="1:12" ht="12.75">
      <c r="A21" s="3" t="s">
        <v>201</v>
      </c>
      <c r="B21" s="18" t="s">
        <v>202</v>
      </c>
      <c r="D21" s="4">
        <f t="shared" si="1"/>
        <v>0</v>
      </c>
      <c r="F21" s="4">
        <f t="shared" si="2"/>
        <v>0</v>
      </c>
      <c r="G21" s="3">
        <v>3</v>
      </c>
      <c r="H21" s="4">
        <f t="shared" si="3"/>
        <v>0.0004723665564478035</v>
      </c>
      <c r="I21" s="10">
        <f t="shared" si="0"/>
        <v>0.0001574555188159345</v>
      </c>
      <c r="J21" s="111"/>
      <c r="K21" s="112">
        <f t="shared" si="4"/>
        <v>19.20567104393009</v>
      </c>
      <c r="L21" s="48"/>
    </row>
    <row r="22" spans="1:12" ht="12.75">
      <c r="A22" s="3" t="s">
        <v>203</v>
      </c>
      <c r="B22" s="18" t="s">
        <v>204</v>
      </c>
      <c r="C22" s="3">
        <f>787+25</f>
        <v>812</v>
      </c>
      <c r="D22" s="4">
        <f t="shared" si="1"/>
        <v>0.5110132158590308</v>
      </c>
      <c r="E22" s="3">
        <f>49+18+105+1+2+1+27+45+122+13+1+2+31</f>
        <v>417</v>
      </c>
      <c r="F22" s="4">
        <f t="shared" si="2"/>
        <v>0.3839779005524862</v>
      </c>
      <c r="G22" s="3">
        <v>1295</v>
      </c>
      <c r="H22" s="4">
        <f t="shared" si="3"/>
        <v>0.20390489686663518</v>
      </c>
      <c r="I22" s="10">
        <f t="shared" si="0"/>
        <v>0.3662986710927174</v>
      </c>
      <c r="J22" s="111"/>
      <c r="K22" s="112">
        <f t="shared" si="4"/>
        <v>44679.359820086094</v>
      </c>
      <c r="L22" s="48"/>
    </row>
    <row r="23" spans="1:12" ht="12.75">
      <c r="A23" s="3" t="s">
        <v>205</v>
      </c>
      <c r="B23" s="18" t="s">
        <v>206</v>
      </c>
      <c r="D23" s="4">
        <f t="shared" si="1"/>
        <v>0</v>
      </c>
      <c r="F23" s="4">
        <f t="shared" si="2"/>
        <v>0</v>
      </c>
      <c r="G23" s="3">
        <v>94</v>
      </c>
      <c r="H23" s="4">
        <f t="shared" si="3"/>
        <v>0.014800818768697844</v>
      </c>
      <c r="I23" s="10">
        <f t="shared" si="0"/>
        <v>0.004933606256232614</v>
      </c>
      <c r="J23" s="111"/>
      <c r="K23" s="112">
        <f t="shared" si="4"/>
        <v>601.7776927098095</v>
      </c>
      <c r="L23" s="48"/>
    </row>
    <row r="24" spans="1:12" ht="12.75">
      <c r="A24" s="3" t="s">
        <v>207</v>
      </c>
      <c r="B24" s="18" t="s">
        <v>208</v>
      </c>
      <c r="C24" s="3">
        <f>2+2</f>
        <v>4</v>
      </c>
      <c r="D24" s="4">
        <f t="shared" si="1"/>
        <v>0.0025173064820641915</v>
      </c>
      <c r="E24" s="3">
        <v>21</v>
      </c>
      <c r="F24" s="4">
        <f t="shared" si="2"/>
        <v>0.019337016574585635</v>
      </c>
      <c r="G24" s="3">
        <v>217</v>
      </c>
      <c r="H24" s="4">
        <f t="shared" si="3"/>
        <v>0.034167847583057784</v>
      </c>
      <c r="I24" s="10">
        <f t="shared" si="0"/>
        <v>0.018674056879902538</v>
      </c>
      <c r="J24" s="111"/>
      <c r="K24" s="112">
        <f t="shared" si="4"/>
        <v>2277.7721364616436</v>
      </c>
      <c r="L24" s="48"/>
    </row>
    <row r="25" spans="1:12" ht="12.75">
      <c r="A25" s="3" t="s">
        <v>209</v>
      </c>
      <c r="B25" s="18" t="s">
        <v>210</v>
      </c>
      <c r="D25" s="4">
        <f t="shared" si="1"/>
        <v>0</v>
      </c>
      <c r="F25" s="4">
        <f t="shared" si="2"/>
        <v>0</v>
      </c>
      <c r="G25" s="3">
        <v>14</v>
      </c>
      <c r="H25" s="4">
        <f t="shared" si="3"/>
        <v>0.002204377263423083</v>
      </c>
      <c r="I25" s="10">
        <f t="shared" si="0"/>
        <v>0.0007347924211410276</v>
      </c>
      <c r="J25" s="111"/>
      <c r="K25" s="112">
        <f t="shared" si="4"/>
        <v>89.62646487167375</v>
      </c>
      <c r="L25" s="48"/>
    </row>
    <row r="26" spans="1:12" ht="12" customHeight="1">
      <c r="A26" s="3" t="s">
        <v>211</v>
      </c>
      <c r="B26" s="18" t="s">
        <v>212</v>
      </c>
      <c r="D26" s="4">
        <f t="shared" si="1"/>
        <v>0</v>
      </c>
      <c r="F26" s="4">
        <f t="shared" si="2"/>
        <v>0</v>
      </c>
      <c r="G26" s="3">
        <v>95</v>
      </c>
      <c r="H26" s="4">
        <f t="shared" si="3"/>
        <v>0.014958274287513777</v>
      </c>
      <c r="I26" s="10">
        <f t="shared" si="0"/>
        <v>0.004986091429171259</v>
      </c>
      <c r="J26" s="111"/>
      <c r="K26" s="112">
        <f t="shared" si="4"/>
        <v>608.1795830577861</v>
      </c>
      <c r="L26" s="48"/>
    </row>
    <row r="27" spans="1:12" ht="12.75">
      <c r="A27" s="3" t="s">
        <v>213</v>
      </c>
      <c r="B27" s="18" t="s">
        <v>214</v>
      </c>
      <c r="D27" s="4">
        <f t="shared" si="1"/>
        <v>0</v>
      </c>
      <c r="F27" s="4">
        <f t="shared" si="2"/>
        <v>0</v>
      </c>
      <c r="G27" s="3">
        <v>37</v>
      </c>
      <c r="H27" s="4">
        <f t="shared" si="3"/>
        <v>0.005825854196189577</v>
      </c>
      <c r="I27" s="10">
        <f t="shared" si="0"/>
        <v>0.001941951398729859</v>
      </c>
      <c r="J27" s="111"/>
      <c r="K27" s="112">
        <f t="shared" si="4"/>
        <v>236.86994287513778</v>
      </c>
      <c r="L27" s="48"/>
    </row>
    <row r="28" spans="1:12" ht="12.75">
      <c r="A28" s="3" t="s">
        <v>215</v>
      </c>
      <c r="B28" s="18" t="s">
        <v>216</v>
      </c>
      <c r="D28" s="4">
        <f t="shared" si="1"/>
        <v>0</v>
      </c>
      <c r="F28" s="4">
        <f t="shared" si="2"/>
        <v>0</v>
      </c>
      <c r="G28" s="3">
        <v>34</v>
      </c>
      <c r="H28" s="4">
        <f t="shared" si="3"/>
        <v>0.005353487639741773</v>
      </c>
      <c r="I28" s="10">
        <f t="shared" si="0"/>
        <v>0.0017844958799139244</v>
      </c>
      <c r="J28" s="111"/>
      <c r="K28" s="112">
        <f t="shared" si="4"/>
        <v>217.66427183120769</v>
      </c>
      <c r="L28" s="48"/>
    </row>
    <row r="29" spans="1:12" ht="12.75">
      <c r="A29" s="7" t="s">
        <v>217</v>
      </c>
      <c r="B29" s="8" t="s">
        <v>218</v>
      </c>
      <c r="D29" s="4">
        <f t="shared" si="1"/>
        <v>0</v>
      </c>
      <c r="E29" s="3">
        <v>4</v>
      </c>
      <c r="F29" s="4">
        <f t="shared" si="2"/>
        <v>0.003683241252302026</v>
      </c>
      <c r="G29" s="3">
        <v>16</v>
      </c>
      <c r="H29" s="4">
        <f t="shared" si="3"/>
        <v>0.002519288301054952</v>
      </c>
      <c r="I29" s="10">
        <f t="shared" si="0"/>
        <v>0.002067509851118993</v>
      </c>
      <c r="J29" s="111"/>
      <c r="K29" s="112">
        <f t="shared" si="4"/>
        <v>252.1849623263749</v>
      </c>
      <c r="L29" s="48"/>
    </row>
    <row r="30" spans="1:12" ht="12.75">
      <c r="A30" s="7" t="s">
        <v>219</v>
      </c>
      <c r="B30" s="8" t="s">
        <v>220</v>
      </c>
      <c r="D30" s="4">
        <f t="shared" si="1"/>
        <v>0</v>
      </c>
      <c r="F30" s="4">
        <f t="shared" si="2"/>
        <v>0</v>
      </c>
      <c r="H30" s="4">
        <f t="shared" si="3"/>
        <v>0</v>
      </c>
      <c r="I30" s="10">
        <f t="shared" si="0"/>
        <v>0</v>
      </c>
      <c r="J30" s="111"/>
      <c r="K30" s="112">
        <f t="shared" si="4"/>
        <v>0</v>
      </c>
      <c r="L30" s="48"/>
    </row>
    <row r="31" spans="1:12" ht="12.75">
      <c r="A31" s="7" t="s">
        <v>221</v>
      </c>
      <c r="B31" s="8" t="s">
        <v>222</v>
      </c>
      <c r="C31" s="3">
        <f>9+41+1+1+1+1</f>
        <v>54</v>
      </c>
      <c r="D31" s="4">
        <f t="shared" si="1"/>
        <v>0.033983637507866586</v>
      </c>
      <c r="E31" s="3">
        <f>19+1+15+7+20+19+16</f>
        <v>97</v>
      </c>
      <c r="F31" s="4">
        <f t="shared" si="2"/>
        <v>0.08931860036832412</v>
      </c>
      <c r="G31" s="3">
        <v>382</v>
      </c>
      <c r="H31" s="4">
        <f t="shared" si="3"/>
        <v>0.06014800818768698</v>
      </c>
      <c r="I31" s="10">
        <f t="shared" si="0"/>
        <v>0.061150082021292566</v>
      </c>
      <c r="J31" s="111"/>
      <c r="K31" s="112">
        <f t="shared" si="4"/>
        <v>7458.794511884943</v>
      </c>
      <c r="L31" s="48"/>
    </row>
    <row r="32" spans="1:12" ht="12.75">
      <c r="A32" s="7" t="s">
        <v>223</v>
      </c>
      <c r="B32" s="8" t="s">
        <v>224</v>
      </c>
      <c r="D32" s="4">
        <f t="shared" si="1"/>
        <v>0</v>
      </c>
      <c r="E32" s="3">
        <v>92</v>
      </c>
      <c r="F32" s="4">
        <f t="shared" si="2"/>
        <v>0.0847145488029466</v>
      </c>
      <c r="G32" s="3">
        <v>110</v>
      </c>
      <c r="H32" s="4">
        <f t="shared" si="3"/>
        <v>0.017320107069752795</v>
      </c>
      <c r="I32" s="10">
        <f t="shared" si="0"/>
        <v>0.034011551957566465</v>
      </c>
      <c r="J32" s="111"/>
      <c r="K32" s="112">
        <f t="shared" si="4"/>
        <v>4148.566423728634</v>
      </c>
      <c r="L32" s="48"/>
    </row>
    <row r="33" spans="1:12" ht="12.75">
      <c r="A33" s="7" t="s">
        <v>225</v>
      </c>
      <c r="B33" s="8" t="s">
        <v>226</v>
      </c>
      <c r="D33" s="4">
        <f t="shared" si="1"/>
        <v>0</v>
      </c>
      <c r="E33" s="3">
        <f>8</f>
        <v>8</v>
      </c>
      <c r="F33" s="4">
        <f t="shared" si="2"/>
        <v>0.007366482504604052</v>
      </c>
      <c r="G33" s="3">
        <v>62</v>
      </c>
      <c r="H33" s="4">
        <f t="shared" si="3"/>
        <v>0.009762242166587939</v>
      </c>
      <c r="I33" s="10">
        <f t="shared" si="0"/>
        <v>0.00570957489039733</v>
      </c>
      <c r="J33" s="111"/>
      <c r="K33" s="112">
        <f t="shared" si="4"/>
        <v>696.4266350920506</v>
      </c>
      <c r="L33" s="48"/>
    </row>
    <row r="34" spans="1:12" ht="12.75">
      <c r="A34" s="7" t="s">
        <v>227</v>
      </c>
      <c r="B34" s="8" t="s">
        <v>228</v>
      </c>
      <c r="C34" s="3">
        <f>83+79+1+1+1+1+1</f>
        <v>167</v>
      </c>
      <c r="D34" s="4">
        <f t="shared" si="1"/>
        <v>0.10509754562617998</v>
      </c>
      <c r="E34" s="3">
        <f>28+3+11+3+2+1+1+2+2+31+12+30</f>
        <v>126</v>
      </c>
      <c r="F34" s="4">
        <f t="shared" si="2"/>
        <v>0.11602209944751381</v>
      </c>
      <c r="G34" s="3">
        <v>575</v>
      </c>
      <c r="H34" s="4">
        <f t="shared" si="3"/>
        <v>0.09053692331916234</v>
      </c>
      <c r="I34" s="10">
        <f t="shared" si="0"/>
        <v>0.10388552279761872</v>
      </c>
      <c r="J34" s="111"/>
      <c r="K34" s="112">
        <f t="shared" si="4"/>
        <v>12671.459165620885</v>
      </c>
      <c r="L34" s="48"/>
    </row>
    <row r="35" spans="1:12" ht="12.75">
      <c r="A35" s="7" t="s">
        <v>229</v>
      </c>
      <c r="B35" s="8" t="s">
        <v>230</v>
      </c>
      <c r="D35" s="4">
        <f t="shared" si="1"/>
        <v>0</v>
      </c>
      <c r="F35" s="4">
        <f t="shared" si="2"/>
        <v>0</v>
      </c>
      <c r="G35" s="3">
        <v>52</v>
      </c>
      <c r="H35" s="4">
        <f t="shared" si="3"/>
        <v>0.008187686978428595</v>
      </c>
      <c r="I35" s="10">
        <f t="shared" si="0"/>
        <v>0.0027292289928095314</v>
      </c>
      <c r="J35" s="111"/>
      <c r="K35" s="112">
        <f t="shared" si="4"/>
        <v>332.89829809478823</v>
      </c>
      <c r="L35" s="48"/>
    </row>
    <row r="36" spans="1:12" ht="12.75">
      <c r="A36" s="7" t="s">
        <v>231</v>
      </c>
      <c r="B36" s="8" t="s">
        <v>232</v>
      </c>
      <c r="C36" s="3">
        <f>7+6</f>
        <v>13</v>
      </c>
      <c r="D36" s="4">
        <f t="shared" si="1"/>
        <v>0.008181246066708621</v>
      </c>
      <c r="E36" s="3">
        <f>19</f>
        <v>19</v>
      </c>
      <c r="F36" s="4">
        <f t="shared" si="2"/>
        <v>0.017495395948434623</v>
      </c>
      <c r="G36" s="3">
        <v>313</v>
      </c>
      <c r="H36" s="4">
        <f t="shared" si="3"/>
        <v>0.049283577389387496</v>
      </c>
      <c r="I36" s="10">
        <f t="shared" si="0"/>
        <v>0.024986739801510244</v>
      </c>
      <c r="J36" s="111"/>
      <c r="K36" s="112">
        <f t="shared" si="4"/>
        <v>3047.7630044144007</v>
      </c>
      <c r="L36" s="48"/>
    </row>
    <row r="37" spans="1:12" ht="12.75">
      <c r="A37" s="7" t="s">
        <v>233</v>
      </c>
      <c r="B37" s="8" t="s">
        <v>234</v>
      </c>
      <c r="D37" s="4">
        <f t="shared" si="1"/>
        <v>0</v>
      </c>
      <c r="F37" s="4">
        <f t="shared" si="2"/>
        <v>0</v>
      </c>
      <c r="G37" s="3">
        <v>132</v>
      </c>
      <c r="H37" s="4">
        <f t="shared" si="3"/>
        <v>0.020784128483703354</v>
      </c>
      <c r="I37" s="10">
        <f t="shared" si="0"/>
        <v>0.006928042827901118</v>
      </c>
      <c r="J37" s="111"/>
      <c r="K37" s="112">
        <f t="shared" si="4"/>
        <v>845.0495259329239</v>
      </c>
      <c r="L37" s="48"/>
    </row>
    <row r="38" spans="1:12" ht="12.75">
      <c r="A38" s="7" t="s">
        <v>235</v>
      </c>
      <c r="B38" s="8" t="s">
        <v>236</v>
      </c>
      <c r="C38" s="3">
        <f>4+4</f>
        <v>8</v>
      </c>
      <c r="D38" s="4">
        <f t="shared" si="1"/>
        <v>0.005034612964128383</v>
      </c>
      <c r="E38" s="3">
        <f>5</f>
        <v>5</v>
      </c>
      <c r="F38" s="4">
        <f t="shared" si="2"/>
        <v>0.004604051565377533</v>
      </c>
      <c r="G38" s="3">
        <v>99</v>
      </c>
      <c r="H38" s="4">
        <f t="shared" si="3"/>
        <v>0.015588096362777516</v>
      </c>
      <c r="I38" s="10">
        <f t="shared" si="0"/>
        <v>0.00840892029742781</v>
      </c>
      <c r="J38" s="111"/>
      <c r="K38" s="112">
        <f t="shared" si="4"/>
        <v>1025.6798763326776</v>
      </c>
      <c r="L38" s="48"/>
    </row>
    <row r="39" spans="1:12" ht="12.75">
      <c r="A39" s="7" t="s">
        <v>237</v>
      </c>
      <c r="B39" s="8" t="s">
        <v>238</v>
      </c>
      <c r="C39" s="3">
        <f>4+4</f>
        <v>8</v>
      </c>
      <c r="D39" s="4">
        <f t="shared" si="1"/>
        <v>0.005034612964128383</v>
      </c>
      <c r="E39" s="3">
        <v>10</v>
      </c>
      <c r="F39" s="4">
        <f t="shared" si="2"/>
        <v>0.009208103130755065</v>
      </c>
      <c r="G39" s="3">
        <v>47</v>
      </c>
      <c r="H39" s="4">
        <f t="shared" si="3"/>
        <v>0.007400409384348922</v>
      </c>
      <c r="I39" s="10">
        <f t="shared" si="0"/>
        <v>0.007214375159744123</v>
      </c>
      <c r="J39" s="111"/>
      <c r="K39" s="112">
        <f t="shared" si="4"/>
        <v>879.974974186324</v>
      </c>
      <c r="L39" s="48"/>
    </row>
    <row r="40" spans="1:12" ht="12.75">
      <c r="A40" s="7" t="s">
        <v>239</v>
      </c>
      <c r="B40" s="8" t="s">
        <v>240</v>
      </c>
      <c r="D40" s="4">
        <f t="shared" si="1"/>
        <v>0</v>
      </c>
      <c r="F40" s="4">
        <f t="shared" si="2"/>
        <v>0</v>
      </c>
      <c r="G40" s="3">
        <v>10</v>
      </c>
      <c r="H40" s="4">
        <f t="shared" si="3"/>
        <v>0.001574555188159345</v>
      </c>
      <c r="I40" s="10">
        <f t="shared" si="0"/>
        <v>0.0005248517293864483</v>
      </c>
      <c r="J40" s="111"/>
      <c r="K40" s="112">
        <f t="shared" si="4"/>
        <v>64.01890347976696</v>
      </c>
      <c r="L40" s="48"/>
    </row>
    <row r="41" spans="1:12" ht="12.75">
      <c r="A41" s="7" t="s">
        <v>241</v>
      </c>
      <c r="B41" s="8" t="s">
        <v>242</v>
      </c>
      <c r="D41" s="4">
        <f t="shared" si="1"/>
        <v>0</v>
      </c>
      <c r="F41" s="4">
        <f t="shared" si="2"/>
        <v>0</v>
      </c>
      <c r="G41" s="3">
        <v>8</v>
      </c>
      <c r="H41" s="4">
        <f t="shared" si="3"/>
        <v>0.001259644150527476</v>
      </c>
      <c r="I41" s="10">
        <f t="shared" si="0"/>
        <v>0.00041988138350915866</v>
      </c>
      <c r="J41" s="111"/>
      <c r="K41" s="112">
        <f t="shared" si="4"/>
        <v>51.21512278381357</v>
      </c>
      <c r="L41" s="48"/>
    </row>
    <row r="42" spans="1:12" ht="12.75">
      <c r="A42" s="7" t="s">
        <v>243</v>
      </c>
      <c r="B42" s="8" t="s">
        <v>244</v>
      </c>
      <c r="D42" s="4">
        <f t="shared" si="1"/>
        <v>0</v>
      </c>
      <c r="F42" s="4">
        <f t="shared" si="2"/>
        <v>0</v>
      </c>
      <c r="G42" s="3">
        <v>18</v>
      </c>
      <c r="H42" s="4">
        <f t="shared" si="3"/>
        <v>0.002834199338686821</v>
      </c>
      <c r="I42" s="10">
        <f t="shared" si="0"/>
        <v>0.000944733112895607</v>
      </c>
      <c r="J42" s="111"/>
      <c r="K42" s="112">
        <f t="shared" si="4"/>
        <v>115.23402626358055</v>
      </c>
      <c r="L42" s="48"/>
    </row>
    <row r="43" spans="1:12" ht="12.75">
      <c r="A43" s="7" t="s">
        <v>245</v>
      </c>
      <c r="B43" s="8" t="s">
        <v>246</v>
      </c>
      <c r="C43" s="3">
        <f>5+5</f>
        <v>10</v>
      </c>
      <c r="D43" s="4">
        <f t="shared" si="1"/>
        <v>0.0062932662051604785</v>
      </c>
      <c r="E43" s="3">
        <v>13</v>
      </c>
      <c r="F43" s="4">
        <f t="shared" si="2"/>
        <v>0.011970534069981584</v>
      </c>
      <c r="G43" s="3">
        <v>142</v>
      </c>
      <c r="H43" s="4">
        <f t="shared" si="3"/>
        <v>0.022358683671862698</v>
      </c>
      <c r="I43" s="10">
        <f t="shared" si="0"/>
        <v>0.01354082798233492</v>
      </c>
      <c r="J43" s="111"/>
      <c r="K43" s="112">
        <f t="shared" si="4"/>
        <v>1651.6454287968083</v>
      </c>
      <c r="L43" s="48"/>
    </row>
    <row r="44" spans="1:12" ht="12.75">
      <c r="A44" s="7" t="s">
        <v>247</v>
      </c>
      <c r="B44" s="8" t="s">
        <v>248</v>
      </c>
      <c r="D44" s="4">
        <f t="shared" si="1"/>
        <v>0</v>
      </c>
      <c r="E44" s="3">
        <v>2</v>
      </c>
      <c r="F44" s="4">
        <f t="shared" si="2"/>
        <v>0.001841620626151013</v>
      </c>
      <c r="G44" s="3">
        <v>41</v>
      </c>
      <c r="H44" s="4">
        <f t="shared" si="3"/>
        <v>0.006455676271453314</v>
      </c>
      <c r="I44" s="10">
        <f t="shared" si="0"/>
        <v>0.0027657656325347757</v>
      </c>
      <c r="J44" s="111"/>
      <c r="K44" s="112">
        <f t="shared" si="4"/>
        <v>337.3548626464184</v>
      </c>
      <c r="L44" s="48"/>
    </row>
    <row r="45" spans="1:12" ht="12.75">
      <c r="A45" s="7" t="s">
        <v>249</v>
      </c>
      <c r="B45" s="8" t="s">
        <v>250</v>
      </c>
      <c r="D45" s="4">
        <f t="shared" si="1"/>
        <v>0</v>
      </c>
      <c r="F45" s="4">
        <f t="shared" si="2"/>
        <v>0</v>
      </c>
      <c r="G45" s="3">
        <f>12+29</f>
        <v>41</v>
      </c>
      <c r="H45" s="4">
        <f t="shared" si="3"/>
        <v>0.006455676271453314</v>
      </c>
      <c r="I45" s="10">
        <f t="shared" si="0"/>
        <v>0.002151892090484438</v>
      </c>
      <c r="J45" s="111"/>
      <c r="K45" s="112">
        <f t="shared" si="4"/>
        <v>262.47750426704454</v>
      </c>
      <c r="L45" s="48"/>
    </row>
    <row r="46" spans="1:12" ht="12.75">
      <c r="A46" s="7" t="s">
        <v>251</v>
      </c>
      <c r="B46" s="8" t="s">
        <v>252</v>
      </c>
      <c r="D46" s="4">
        <f t="shared" si="1"/>
        <v>0</v>
      </c>
      <c r="F46" s="4">
        <f t="shared" si="2"/>
        <v>0</v>
      </c>
      <c r="G46" s="3">
        <v>8</v>
      </c>
      <c r="H46" s="4">
        <f t="shared" si="3"/>
        <v>0.001259644150527476</v>
      </c>
      <c r="I46" s="10">
        <f t="shared" si="0"/>
        <v>0.00041988138350915866</v>
      </c>
      <c r="J46" s="111"/>
      <c r="K46" s="112">
        <f t="shared" si="4"/>
        <v>51.21512278381357</v>
      </c>
      <c r="L46" s="48"/>
    </row>
    <row r="47" spans="1:12" ht="12.75">
      <c r="A47" s="7" t="s">
        <v>253</v>
      </c>
      <c r="B47" s="8" t="s">
        <v>254</v>
      </c>
      <c r="D47" s="4">
        <f t="shared" si="1"/>
        <v>0</v>
      </c>
      <c r="E47" s="3">
        <v>7</v>
      </c>
      <c r="F47" s="4">
        <f t="shared" si="2"/>
        <v>0.006445672191528545</v>
      </c>
      <c r="G47" s="3">
        <v>51</v>
      </c>
      <c r="H47" s="4">
        <f t="shared" si="3"/>
        <v>0.00803023145961266</v>
      </c>
      <c r="I47" s="10">
        <f t="shared" si="0"/>
        <v>0.004825301217047068</v>
      </c>
      <c r="J47" s="111"/>
      <c r="K47" s="112">
        <f t="shared" si="4"/>
        <v>588.56716207462</v>
      </c>
      <c r="L47" s="48"/>
    </row>
    <row r="48" spans="1:12" ht="12.75">
      <c r="A48" s="7" t="s">
        <v>255</v>
      </c>
      <c r="B48" s="8" t="s">
        <v>256</v>
      </c>
      <c r="D48" s="4">
        <f t="shared" si="1"/>
        <v>0</v>
      </c>
      <c r="F48" s="4">
        <f t="shared" si="2"/>
        <v>0</v>
      </c>
      <c r="G48" s="3">
        <v>3</v>
      </c>
      <c r="H48" s="4">
        <f t="shared" si="3"/>
        <v>0.0004723665564478035</v>
      </c>
      <c r="I48" s="10">
        <f t="shared" si="0"/>
        <v>0.0001574555188159345</v>
      </c>
      <c r="J48" s="111"/>
      <c r="K48" s="112">
        <f t="shared" si="4"/>
        <v>19.20567104393009</v>
      </c>
      <c r="L48" s="48"/>
    </row>
    <row r="49" spans="1:12" ht="12.75">
      <c r="A49" s="7" t="s">
        <v>257</v>
      </c>
      <c r="B49" s="8" t="s">
        <v>258</v>
      </c>
      <c r="D49" s="4">
        <f t="shared" si="1"/>
        <v>0</v>
      </c>
      <c r="E49" s="3">
        <f>17</f>
        <v>17</v>
      </c>
      <c r="F49" s="4">
        <f t="shared" si="2"/>
        <v>0.01565377532228361</v>
      </c>
      <c r="G49" s="3">
        <v>74</v>
      </c>
      <c r="H49" s="4">
        <f t="shared" si="3"/>
        <v>0.011651708392379154</v>
      </c>
      <c r="I49" s="10">
        <f t="shared" si="0"/>
        <v>0.009101827904887588</v>
      </c>
      <c r="J49" s="111"/>
      <c r="K49" s="112">
        <f t="shared" si="4"/>
        <v>1110.1974319749534</v>
      </c>
      <c r="L49" s="48"/>
    </row>
    <row r="50" spans="1:12" ht="12.75">
      <c r="A50" s="7" t="s">
        <v>575</v>
      </c>
      <c r="B50" s="8" t="s">
        <v>576</v>
      </c>
      <c r="D50" s="4">
        <f t="shared" si="1"/>
        <v>0</v>
      </c>
      <c r="E50" s="3">
        <v>8</v>
      </c>
      <c r="F50" s="4">
        <f t="shared" si="2"/>
        <v>0.007366482504604052</v>
      </c>
      <c r="G50" s="3">
        <v>23</v>
      </c>
      <c r="H50" s="4">
        <f t="shared" si="3"/>
        <v>0.0036214769327664936</v>
      </c>
      <c r="I50" s="10">
        <f t="shared" si="0"/>
        <v>0.0036626531457901817</v>
      </c>
      <c r="J50" s="111"/>
      <c r="K50" s="112">
        <f t="shared" si="4"/>
        <v>446.7529115209594</v>
      </c>
      <c r="L50" s="48"/>
    </row>
    <row r="51" spans="1:12" ht="12.75">
      <c r="A51" s="7" t="s">
        <v>259</v>
      </c>
      <c r="B51" s="8" t="s">
        <v>260</v>
      </c>
      <c r="C51" s="3">
        <f>36+32</f>
        <v>68</v>
      </c>
      <c r="D51" s="4">
        <f t="shared" si="1"/>
        <v>0.042794210195091255</v>
      </c>
      <c r="E51" s="3">
        <f>1+5+12+12+10+1</f>
        <v>41</v>
      </c>
      <c r="F51" s="4">
        <f t="shared" si="2"/>
        <v>0.037753222836095765</v>
      </c>
      <c r="G51" s="3">
        <v>251</v>
      </c>
      <c r="H51" s="4">
        <f t="shared" si="3"/>
        <v>0.03952133522279956</v>
      </c>
      <c r="I51" s="10">
        <f t="shared" si="0"/>
        <v>0.04002292275132886</v>
      </c>
      <c r="J51" s="111"/>
      <c r="K51" s="112">
        <f t="shared" si="4"/>
        <v>4881.804679562991</v>
      </c>
      <c r="L51" s="48"/>
    </row>
    <row r="52" spans="1:12" ht="12.75">
      <c r="A52" s="7" t="s">
        <v>261</v>
      </c>
      <c r="B52" s="8" t="s">
        <v>262</v>
      </c>
      <c r="C52" s="3">
        <f>44+36</f>
        <v>80</v>
      </c>
      <c r="D52" s="4">
        <f t="shared" si="1"/>
        <v>0.05034612964128383</v>
      </c>
      <c r="E52" s="3">
        <f>9+11+2+11+16+1+1+1</f>
        <v>52</v>
      </c>
      <c r="F52" s="4">
        <f t="shared" si="2"/>
        <v>0.04788213627992634</v>
      </c>
      <c r="G52" s="3">
        <v>177</v>
      </c>
      <c r="H52" s="4">
        <f t="shared" si="3"/>
        <v>0.027869626830420408</v>
      </c>
      <c r="I52" s="10">
        <f t="shared" si="0"/>
        <v>0.04203263091721019</v>
      </c>
      <c r="J52" s="111"/>
      <c r="K52" s="112">
        <f t="shared" si="4"/>
        <v>5126.939268801096</v>
      </c>
      <c r="L52" s="48"/>
    </row>
    <row r="53" spans="1:12" ht="12.75">
      <c r="A53" s="7" t="s">
        <v>263</v>
      </c>
      <c r="B53" s="8" t="s">
        <v>264</v>
      </c>
      <c r="D53" s="4">
        <f t="shared" si="1"/>
        <v>0</v>
      </c>
      <c r="F53" s="4">
        <f t="shared" si="2"/>
        <v>0</v>
      </c>
      <c r="G53" s="3">
        <v>7</v>
      </c>
      <c r="H53" s="4">
        <f t="shared" si="3"/>
        <v>0.0011021886317115414</v>
      </c>
      <c r="I53" s="10">
        <f t="shared" si="0"/>
        <v>0.0003673962105705138</v>
      </c>
      <c r="J53" s="111"/>
      <c r="K53" s="112">
        <f t="shared" si="4"/>
        <v>44.81323243583687</v>
      </c>
      <c r="L53" s="48"/>
    </row>
    <row r="54" spans="1:12" ht="12" customHeight="1" thickBot="1">
      <c r="A54" s="14" t="s">
        <v>265</v>
      </c>
      <c r="B54" s="17"/>
      <c r="C54" s="1">
        <f aca="true" t="shared" si="5" ref="C54:H54">SUM(C7:C53)</f>
        <v>1589</v>
      </c>
      <c r="D54" s="15">
        <f t="shared" si="5"/>
        <v>1.0000000000000002</v>
      </c>
      <c r="E54" s="1">
        <f t="shared" si="5"/>
        <v>1086</v>
      </c>
      <c r="F54" s="15">
        <f t="shared" si="5"/>
        <v>1.0000000000000002</v>
      </c>
      <c r="G54" s="1">
        <f t="shared" si="5"/>
        <v>6351</v>
      </c>
      <c r="H54" s="15">
        <f t="shared" si="5"/>
        <v>0.9999999999999997</v>
      </c>
      <c r="I54" s="10">
        <f t="shared" si="0"/>
        <v>1</v>
      </c>
      <c r="J54" s="113"/>
      <c r="K54" s="114">
        <f>'FY12 to FY11 Comparison'!K12:L12</f>
        <v>121975.2168</v>
      </c>
      <c r="L54" s="66"/>
    </row>
    <row r="56" ht="12.75">
      <c r="K56" s="76">
        <f>SUM(K7:K53)</f>
        <v>121975.21680000004</v>
      </c>
    </row>
  </sheetData>
  <mergeCells count="2">
    <mergeCell ref="J3:L4"/>
    <mergeCell ref="J5:L5"/>
  </mergeCells>
  <printOptions/>
  <pageMargins left="0.25" right="0.25" top="0.25" bottom="0.25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workbookViewId="0" topLeftCell="A1">
      <pane xSplit="1" ySplit="5" topLeftCell="J6" activePane="bottomRight" state="frozen"/>
      <selection pane="topLeft" activeCell="R47" sqref="A1:R47"/>
      <selection pane="topRight" activeCell="R47" sqref="A1:R47"/>
      <selection pane="bottomLeft" activeCell="R47" sqref="A1:R47"/>
      <selection pane="bottomRight" activeCell="L100" sqref="A1:L100"/>
    </sheetView>
  </sheetViews>
  <sheetFormatPr defaultColWidth="9.140625" defaultRowHeight="12.75"/>
  <cols>
    <col min="1" max="1" width="40.8515625" style="7" bestFit="1" customWidth="1"/>
    <col min="2" max="2" width="8.140625" style="8" hidden="1" customWidth="1"/>
    <col min="3" max="3" width="7.28125" style="3" hidden="1" customWidth="1"/>
    <col min="4" max="4" width="7.00390625" style="4" hidden="1" customWidth="1"/>
    <col min="5" max="5" width="11.7109375" style="3" hidden="1" customWidth="1"/>
    <col min="6" max="6" width="7.00390625" style="4" hidden="1" customWidth="1"/>
    <col min="7" max="7" width="14.00390625" style="3" hidden="1" customWidth="1"/>
    <col min="8" max="8" width="7.00390625" style="4" hidden="1" customWidth="1"/>
    <col min="9" max="9" width="8.57421875" style="5" hidden="1" customWidth="1"/>
    <col min="10" max="16384" width="8.8515625" style="7" customWidth="1"/>
  </cols>
  <sheetData>
    <row r="1" spans="1:2" ht="12.75" customHeight="1">
      <c r="A1" s="1" t="s">
        <v>0</v>
      </c>
      <c r="B1" s="2"/>
    </row>
    <row r="2" spans="1:2" ht="13.5" thickBot="1">
      <c r="A2" s="1" t="s">
        <v>596</v>
      </c>
      <c r="B2" s="2"/>
    </row>
    <row r="3" spans="7:12" ht="12.75">
      <c r="G3" s="3" t="s">
        <v>597</v>
      </c>
      <c r="J3" s="135" t="s">
        <v>1</v>
      </c>
      <c r="K3" s="136"/>
      <c r="L3" s="137"/>
    </row>
    <row r="4" spans="3:12" ht="13.5" thickBot="1">
      <c r="C4" s="3" t="s">
        <v>2</v>
      </c>
      <c r="D4" s="4" t="s">
        <v>3</v>
      </c>
      <c r="E4" s="3" t="s">
        <v>4</v>
      </c>
      <c r="F4" s="4" t="s">
        <v>3</v>
      </c>
      <c r="G4" s="3" t="s">
        <v>4</v>
      </c>
      <c r="H4" s="4" t="s">
        <v>3</v>
      </c>
      <c r="I4" s="10" t="s">
        <v>5</v>
      </c>
      <c r="J4" s="138"/>
      <c r="K4" s="139"/>
      <c r="L4" s="140"/>
    </row>
    <row r="5" spans="1:12" ht="12.75">
      <c r="A5" s="11" t="s">
        <v>6</v>
      </c>
      <c r="B5" s="12" t="s">
        <v>7</v>
      </c>
      <c r="C5" s="13" t="s">
        <v>8</v>
      </c>
      <c r="D5" s="4" t="s">
        <v>9</v>
      </c>
      <c r="E5" s="13" t="s">
        <v>10</v>
      </c>
      <c r="F5" s="4" t="s">
        <v>9</v>
      </c>
      <c r="G5" s="13" t="s">
        <v>11</v>
      </c>
      <c r="H5" s="4" t="s">
        <v>9</v>
      </c>
      <c r="I5" s="10" t="s">
        <v>12</v>
      </c>
      <c r="J5" s="141" t="s">
        <v>622</v>
      </c>
      <c r="K5" s="142"/>
      <c r="L5" s="143"/>
    </row>
    <row r="6" spans="1:12" ht="12.75">
      <c r="A6" s="1" t="s">
        <v>266</v>
      </c>
      <c r="B6" s="2"/>
      <c r="J6" s="111"/>
      <c r="K6" s="112"/>
      <c r="L6" s="48"/>
    </row>
    <row r="7" spans="1:12" ht="12.75">
      <c r="A7" s="7" t="s">
        <v>267</v>
      </c>
      <c r="B7" s="8" t="s">
        <v>268</v>
      </c>
      <c r="D7" s="4">
        <f>C7/$C$100</f>
        <v>0</v>
      </c>
      <c r="E7" s="3">
        <v>20</v>
      </c>
      <c r="F7" s="4">
        <f>E7/$E$100</f>
        <v>0.01631321370309951</v>
      </c>
      <c r="G7" s="3">
        <v>20</v>
      </c>
      <c r="H7" s="4">
        <f>G7/$G$100</f>
        <v>0.0028723251472066638</v>
      </c>
      <c r="I7" s="10">
        <f>+(D7+F7+H7)/3</f>
        <v>0.006395179616768725</v>
      </c>
      <c r="J7" s="111"/>
      <c r="K7" s="112">
        <f>I7*$K$100</f>
        <v>1133.457904043567</v>
      </c>
      <c r="L7" s="48"/>
    </row>
    <row r="8" spans="1:12" ht="12.75">
      <c r="A8" s="7" t="s">
        <v>269</v>
      </c>
      <c r="B8" s="8" t="s">
        <v>270</v>
      </c>
      <c r="C8" s="3">
        <f>57</f>
        <v>57</v>
      </c>
      <c r="D8" s="4">
        <f aca="true" t="shared" si="0" ref="D8:D71">C8/$C$100</f>
        <v>0.013909224011713031</v>
      </c>
      <c r="F8" s="4">
        <f aca="true" t="shared" si="1" ref="F8:F71">E8/$E$100</f>
        <v>0</v>
      </c>
      <c r="G8" s="3">
        <v>23</v>
      </c>
      <c r="H8" s="4">
        <f aca="true" t="shared" si="2" ref="H8:H71">G8/$G$100</f>
        <v>0.0033031739192876633</v>
      </c>
      <c r="I8" s="10">
        <f>+(D8+F8+H8)/3</f>
        <v>0.005737465977000231</v>
      </c>
      <c r="J8" s="111"/>
      <c r="K8" s="112">
        <f aca="true" t="shared" si="3" ref="K8:K71">I8*$K$100</f>
        <v>1016.8871791747736</v>
      </c>
      <c r="L8" s="48"/>
    </row>
    <row r="9" spans="1:12" ht="12.75">
      <c r="A9" s="7" t="s">
        <v>547</v>
      </c>
      <c r="B9" s="8" t="s">
        <v>548</v>
      </c>
      <c r="D9" s="4">
        <f t="shared" si="0"/>
        <v>0</v>
      </c>
      <c r="F9" s="4">
        <f t="shared" si="1"/>
        <v>0</v>
      </c>
      <c r="H9" s="4">
        <f t="shared" si="2"/>
        <v>0</v>
      </c>
      <c r="I9" s="10">
        <f aca="true" t="shared" si="4" ref="I9:I38">+(D9+F9+H9)/3</f>
        <v>0</v>
      </c>
      <c r="J9" s="111"/>
      <c r="K9" s="112">
        <f t="shared" si="3"/>
        <v>0</v>
      </c>
      <c r="L9" s="48"/>
    </row>
    <row r="10" spans="1:12" ht="12.75">
      <c r="A10" s="7" t="s">
        <v>271</v>
      </c>
      <c r="B10" s="8" t="s">
        <v>272</v>
      </c>
      <c r="D10" s="4">
        <f t="shared" si="0"/>
        <v>0</v>
      </c>
      <c r="E10" s="3">
        <v>3</v>
      </c>
      <c r="F10" s="4">
        <f t="shared" si="1"/>
        <v>0.0024469820554649264</v>
      </c>
      <c r="G10" s="3">
        <v>18</v>
      </c>
      <c r="H10" s="4">
        <f t="shared" si="2"/>
        <v>0.0025850926324859974</v>
      </c>
      <c r="I10" s="10">
        <f t="shared" si="4"/>
        <v>0.0016773582293169746</v>
      </c>
      <c r="J10" s="111"/>
      <c r="K10" s="112">
        <f t="shared" si="3"/>
        <v>297.28874822322325</v>
      </c>
      <c r="L10" s="48"/>
    </row>
    <row r="11" spans="1:12" ht="12.75">
      <c r="A11" s="7" t="s">
        <v>273</v>
      </c>
      <c r="B11" s="8" t="s">
        <v>274</v>
      </c>
      <c r="D11" s="4">
        <f t="shared" si="0"/>
        <v>0</v>
      </c>
      <c r="E11" s="3">
        <v>2</v>
      </c>
      <c r="F11" s="4">
        <f t="shared" si="1"/>
        <v>0.0016313213703099511</v>
      </c>
      <c r="G11" s="3">
        <v>43</v>
      </c>
      <c r="H11" s="4">
        <f t="shared" si="2"/>
        <v>0.0061754990664943275</v>
      </c>
      <c r="I11" s="10">
        <f t="shared" si="4"/>
        <v>0.0026022734789347595</v>
      </c>
      <c r="J11" s="111"/>
      <c r="K11" s="112">
        <f t="shared" si="3"/>
        <v>461.21729488997113</v>
      </c>
      <c r="L11" s="48"/>
    </row>
    <row r="12" spans="1:12" ht="12.75">
      <c r="A12" s="7" t="s">
        <v>275</v>
      </c>
      <c r="B12" s="8" t="s">
        <v>276</v>
      </c>
      <c r="D12" s="4">
        <f t="shared" si="0"/>
        <v>0</v>
      </c>
      <c r="F12" s="4">
        <f t="shared" si="1"/>
        <v>0</v>
      </c>
      <c r="G12" s="3">
        <v>95</v>
      </c>
      <c r="H12" s="4">
        <f t="shared" si="2"/>
        <v>0.013643544449231652</v>
      </c>
      <c r="I12" s="10">
        <f t="shared" si="4"/>
        <v>0.004547848149743884</v>
      </c>
      <c r="J12" s="111"/>
      <c r="K12" s="112">
        <f t="shared" si="3"/>
        <v>806.043729905692</v>
      </c>
      <c r="L12" s="48"/>
    </row>
    <row r="13" spans="1:12" ht="12.75">
      <c r="A13" s="7" t="s">
        <v>277</v>
      </c>
      <c r="B13" s="8" t="s">
        <v>278</v>
      </c>
      <c r="D13" s="4">
        <f t="shared" si="0"/>
        <v>0</v>
      </c>
      <c r="F13" s="4">
        <f t="shared" si="1"/>
        <v>0</v>
      </c>
      <c r="G13" s="3">
        <v>38</v>
      </c>
      <c r="H13" s="4">
        <f t="shared" si="2"/>
        <v>0.005457417779692661</v>
      </c>
      <c r="I13" s="10">
        <f t="shared" si="4"/>
        <v>0.0018191392598975538</v>
      </c>
      <c r="J13" s="111"/>
      <c r="K13" s="112">
        <f t="shared" si="3"/>
        <v>322.4174919622768</v>
      </c>
      <c r="L13" s="48"/>
    </row>
    <row r="14" spans="1:12" ht="12.75">
      <c r="A14" s="7" t="s">
        <v>279</v>
      </c>
      <c r="B14" s="8" t="s">
        <v>280</v>
      </c>
      <c r="D14" s="4">
        <f t="shared" si="0"/>
        <v>0</v>
      </c>
      <c r="E14" s="3">
        <v>3</v>
      </c>
      <c r="F14" s="4">
        <f t="shared" si="1"/>
        <v>0.0024469820554649264</v>
      </c>
      <c r="G14" s="3">
        <v>1</v>
      </c>
      <c r="H14" s="4">
        <f t="shared" si="2"/>
        <v>0.0001436162573603332</v>
      </c>
      <c r="I14" s="10">
        <f t="shared" si="4"/>
        <v>0.0008635327709417532</v>
      </c>
      <c r="J14" s="111"/>
      <c r="K14" s="112">
        <f t="shared" si="3"/>
        <v>153.04934392430994</v>
      </c>
      <c r="L14" s="48"/>
    </row>
    <row r="15" spans="1:12" ht="12.75">
      <c r="A15" s="7" t="s">
        <v>594</v>
      </c>
      <c r="B15" s="8" t="s">
        <v>595</v>
      </c>
      <c r="D15" s="4">
        <f t="shared" si="0"/>
        <v>0</v>
      </c>
      <c r="F15" s="4">
        <f t="shared" si="1"/>
        <v>0</v>
      </c>
      <c r="H15" s="4">
        <f t="shared" si="2"/>
        <v>0</v>
      </c>
      <c r="I15" s="10">
        <f t="shared" si="4"/>
        <v>0</v>
      </c>
      <c r="J15" s="111"/>
      <c r="K15" s="112">
        <f t="shared" si="3"/>
        <v>0</v>
      </c>
      <c r="L15" s="48"/>
    </row>
    <row r="16" spans="1:12" ht="12.75">
      <c r="A16" s="7" t="s">
        <v>545</v>
      </c>
      <c r="B16" s="8" t="s">
        <v>546</v>
      </c>
      <c r="D16" s="4">
        <f t="shared" si="0"/>
        <v>0</v>
      </c>
      <c r="F16" s="4">
        <f t="shared" si="1"/>
        <v>0</v>
      </c>
      <c r="H16" s="4">
        <f t="shared" si="2"/>
        <v>0</v>
      </c>
      <c r="I16" s="10">
        <f t="shared" si="4"/>
        <v>0</v>
      </c>
      <c r="J16" s="111"/>
      <c r="K16" s="112">
        <f t="shared" si="3"/>
        <v>0</v>
      </c>
      <c r="L16" s="48"/>
    </row>
    <row r="17" spans="1:12" ht="12.75">
      <c r="A17" s="7" t="s">
        <v>281</v>
      </c>
      <c r="B17" s="8" t="s">
        <v>282</v>
      </c>
      <c r="C17" s="3">
        <f>5+1</f>
        <v>6</v>
      </c>
      <c r="D17" s="4">
        <f t="shared" si="0"/>
        <v>0.0014641288433382138</v>
      </c>
      <c r="E17" s="3">
        <v>7</v>
      </c>
      <c r="F17" s="4">
        <f t="shared" si="1"/>
        <v>0.005709624796084829</v>
      </c>
      <c r="G17" s="3">
        <v>29</v>
      </c>
      <c r="H17" s="4">
        <f t="shared" si="2"/>
        <v>0.004164871463449663</v>
      </c>
      <c r="I17" s="10">
        <f t="shared" si="4"/>
        <v>0.0037795417009575684</v>
      </c>
      <c r="J17" s="111"/>
      <c r="K17" s="112">
        <f t="shared" si="3"/>
        <v>669.8719459543755</v>
      </c>
      <c r="L17" s="48"/>
    </row>
    <row r="18" spans="1:12" ht="12.75">
      <c r="A18" s="7" t="s">
        <v>283</v>
      </c>
      <c r="B18" s="8" t="s">
        <v>284</v>
      </c>
      <c r="C18" s="3">
        <f>53+207+1</f>
        <v>261</v>
      </c>
      <c r="D18" s="4">
        <f t="shared" si="0"/>
        <v>0.0636896046852123</v>
      </c>
      <c r="E18" s="3">
        <v>173</v>
      </c>
      <c r="F18" s="4">
        <f t="shared" si="1"/>
        <v>0.14110929853181076</v>
      </c>
      <c r="G18" s="3">
        <v>604</v>
      </c>
      <c r="H18" s="4">
        <f t="shared" si="2"/>
        <v>0.08674421944564124</v>
      </c>
      <c r="I18" s="10">
        <f t="shared" si="4"/>
        <v>0.09718104088755476</v>
      </c>
      <c r="J18" s="111"/>
      <c r="K18" s="112">
        <f t="shared" si="3"/>
        <v>17224.00706750368</v>
      </c>
      <c r="L18" s="48"/>
    </row>
    <row r="19" spans="1:12" ht="12.75">
      <c r="A19" s="7" t="s">
        <v>285</v>
      </c>
      <c r="B19" s="8" t="s">
        <v>286</v>
      </c>
      <c r="C19" s="3">
        <f>1</f>
        <v>1</v>
      </c>
      <c r="D19" s="4">
        <f t="shared" si="0"/>
        <v>0.0002440214738897023</v>
      </c>
      <c r="E19" s="3">
        <v>15</v>
      </c>
      <c r="F19" s="4">
        <f t="shared" si="1"/>
        <v>0.012234910277324634</v>
      </c>
      <c r="G19" s="3">
        <v>69</v>
      </c>
      <c r="H19" s="4">
        <f t="shared" si="2"/>
        <v>0.00990952175786299</v>
      </c>
      <c r="I19" s="10">
        <f t="shared" si="4"/>
        <v>0.007462817836359108</v>
      </c>
      <c r="J19" s="111"/>
      <c r="K19" s="112">
        <f t="shared" si="3"/>
        <v>1322.682140291861</v>
      </c>
      <c r="L19" s="48"/>
    </row>
    <row r="20" spans="1:12" ht="12.75">
      <c r="A20" s="7" t="s">
        <v>287</v>
      </c>
      <c r="B20" s="8" t="s">
        <v>288</v>
      </c>
      <c r="C20" s="3">
        <f>1</f>
        <v>1</v>
      </c>
      <c r="D20" s="4">
        <f t="shared" si="0"/>
        <v>0.0002440214738897023</v>
      </c>
      <c r="E20" s="3">
        <f>1</f>
        <v>1</v>
      </c>
      <c r="F20" s="4">
        <f t="shared" si="1"/>
        <v>0.0008156606851549756</v>
      </c>
      <c r="G20" s="3">
        <v>4</v>
      </c>
      <c r="H20" s="4">
        <f t="shared" si="2"/>
        <v>0.0005744650294413328</v>
      </c>
      <c r="I20" s="10">
        <f t="shared" si="4"/>
        <v>0.0005447157294953368</v>
      </c>
      <c r="J20" s="111"/>
      <c r="K20" s="112">
        <f t="shared" si="3"/>
        <v>96.54339456462449</v>
      </c>
      <c r="L20" s="48"/>
    </row>
    <row r="21" spans="1:12" ht="12.75">
      <c r="A21" s="7" t="s">
        <v>289</v>
      </c>
      <c r="B21" s="8" t="s">
        <v>290</v>
      </c>
      <c r="D21" s="4">
        <f t="shared" si="0"/>
        <v>0</v>
      </c>
      <c r="F21" s="4">
        <f t="shared" si="1"/>
        <v>0</v>
      </c>
      <c r="G21" s="3">
        <v>3</v>
      </c>
      <c r="H21" s="4">
        <f t="shared" si="2"/>
        <v>0.00043084877208099956</v>
      </c>
      <c r="I21" s="10">
        <f t="shared" si="4"/>
        <v>0.0001436162573603332</v>
      </c>
      <c r="J21" s="111"/>
      <c r="K21" s="112">
        <f t="shared" si="3"/>
        <v>25.454012523337642</v>
      </c>
      <c r="L21" s="48"/>
    </row>
    <row r="22" spans="1:12" ht="12.75">
      <c r="A22" s="7" t="s">
        <v>23</v>
      </c>
      <c r="B22" s="8" t="s">
        <v>291</v>
      </c>
      <c r="D22" s="4">
        <f t="shared" si="0"/>
        <v>0</v>
      </c>
      <c r="F22" s="4">
        <f t="shared" si="1"/>
        <v>0</v>
      </c>
      <c r="G22" s="3">
        <v>23</v>
      </c>
      <c r="H22" s="4">
        <f t="shared" si="2"/>
        <v>0.0033031739192876633</v>
      </c>
      <c r="I22" s="10">
        <f t="shared" si="4"/>
        <v>0.0011010579730958878</v>
      </c>
      <c r="J22" s="111"/>
      <c r="K22" s="112">
        <f t="shared" si="3"/>
        <v>195.1474293455886</v>
      </c>
      <c r="L22" s="48"/>
    </row>
    <row r="23" spans="1:12" ht="12.75">
      <c r="A23" s="7" t="s">
        <v>292</v>
      </c>
      <c r="B23" s="8" t="s">
        <v>293</v>
      </c>
      <c r="D23" s="4">
        <f t="shared" si="0"/>
        <v>0</v>
      </c>
      <c r="E23" s="3">
        <f>8</f>
        <v>8</v>
      </c>
      <c r="F23" s="4">
        <f t="shared" si="1"/>
        <v>0.0065252854812398045</v>
      </c>
      <c r="G23" s="3">
        <v>36</v>
      </c>
      <c r="H23" s="4">
        <f t="shared" si="2"/>
        <v>0.005170185264971995</v>
      </c>
      <c r="I23" s="10">
        <f t="shared" si="4"/>
        <v>0.0038984902487372666</v>
      </c>
      <c r="J23" s="111"/>
      <c r="K23" s="112">
        <f t="shared" si="3"/>
        <v>690.9539451685781</v>
      </c>
      <c r="L23" s="48"/>
    </row>
    <row r="24" spans="1:12" ht="12.75">
      <c r="A24" s="7" t="s">
        <v>294</v>
      </c>
      <c r="B24" s="8" t="s">
        <v>295</v>
      </c>
      <c r="D24" s="4">
        <f t="shared" si="0"/>
        <v>0</v>
      </c>
      <c r="F24" s="4">
        <f t="shared" si="1"/>
        <v>0</v>
      </c>
      <c r="G24" s="3">
        <v>3</v>
      </c>
      <c r="H24" s="4">
        <f t="shared" si="2"/>
        <v>0.00043084877208099956</v>
      </c>
      <c r="I24" s="10">
        <f t="shared" si="4"/>
        <v>0.0001436162573603332</v>
      </c>
      <c r="J24" s="111"/>
      <c r="K24" s="112">
        <f t="shared" si="3"/>
        <v>25.454012523337642</v>
      </c>
      <c r="L24" s="48"/>
    </row>
    <row r="25" spans="1:12" ht="12.75">
      <c r="A25" s="7" t="s">
        <v>296</v>
      </c>
      <c r="B25" s="8" t="s">
        <v>589</v>
      </c>
      <c r="C25" s="3">
        <f>16+1</f>
        <v>17</v>
      </c>
      <c r="D25" s="4">
        <f t="shared" si="0"/>
        <v>0.004148365056124939</v>
      </c>
      <c r="F25" s="4">
        <f t="shared" si="1"/>
        <v>0</v>
      </c>
      <c r="G25" s="3">
        <f>6+5</f>
        <v>11</v>
      </c>
      <c r="H25" s="4">
        <f t="shared" si="2"/>
        <v>0.001579778830963665</v>
      </c>
      <c r="I25" s="10">
        <f t="shared" si="4"/>
        <v>0.0019093812956962012</v>
      </c>
      <c r="J25" s="111"/>
      <c r="K25" s="112">
        <f t="shared" si="3"/>
        <v>338.41165551708264</v>
      </c>
      <c r="L25" s="48"/>
    </row>
    <row r="26" spans="1:12" ht="12.75">
      <c r="A26" s="7" t="s">
        <v>297</v>
      </c>
      <c r="B26" s="8" t="s">
        <v>298</v>
      </c>
      <c r="C26" s="3">
        <f>637+1</f>
        <v>638</v>
      </c>
      <c r="D26" s="4">
        <f t="shared" si="0"/>
        <v>0.15568570034163007</v>
      </c>
      <c r="E26" s="3">
        <v>30</v>
      </c>
      <c r="F26" s="4">
        <f t="shared" si="1"/>
        <v>0.024469820554649267</v>
      </c>
      <c r="G26" s="3">
        <v>167</v>
      </c>
      <c r="H26" s="4">
        <f t="shared" si="2"/>
        <v>0.023983914979175642</v>
      </c>
      <c r="I26" s="10">
        <f t="shared" si="4"/>
        <v>0.06804647862515166</v>
      </c>
      <c r="J26" s="111"/>
      <c r="K26" s="112">
        <f t="shared" si="3"/>
        <v>12060.305364648999</v>
      </c>
      <c r="L26" s="48"/>
    </row>
    <row r="27" spans="1:12" ht="12.75">
      <c r="A27" s="7" t="s">
        <v>299</v>
      </c>
      <c r="B27" s="8" t="s">
        <v>551</v>
      </c>
      <c r="C27" s="3">
        <f>186</f>
        <v>186</v>
      </c>
      <c r="D27" s="4">
        <f t="shared" si="0"/>
        <v>0.04538799414348463</v>
      </c>
      <c r="E27" s="3">
        <v>24</v>
      </c>
      <c r="F27" s="4">
        <f t="shared" si="1"/>
        <v>0.01957585644371941</v>
      </c>
      <c r="G27" s="3">
        <v>101</v>
      </c>
      <c r="H27" s="4">
        <f t="shared" si="2"/>
        <v>0.014505241993393652</v>
      </c>
      <c r="I27" s="10">
        <f t="shared" si="4"/>
        <v>0.026489697526865894</v>
      </c>
      <c r="J27" s="111"/>
      <c r="K27" s="112">
        <f t="shared" si="3"/>
        <v>4694.935691692129</v>
      </c>
      <c r="L27" s="48"/>
    </row>
    <row r="28" spans="1:12" ht="12.75">
      <c r="A28" s="7" t="s">
        <v>300</v>
      </c>
      <c r="B28" s="8" t="s">
        <v>301</v>
      </c>
      <c r="C28" s="3">
        <f>24+21</f>
        <v>45</v>
      </c>
      <c r="D28" s="4">
        <f t="shared" si="0"/>
        <v>0.010980966325036604</v>
      </c>
      <c r="F28" s="4">
        <f t="shared" si="1"/>
        <v>0</v>
      </c>
      <c r="G28" s="3">
        <v>493</v>
      </c>
      <c r="H28" s="4">
        <f t="shared" si="2"/>
        <v>0.07080281487864426</v>
      </c>
      <c r="I28" s="10">
        <f t="shared" si="4"/>
        <v>0.027261260401226953</v>
      </c>
      <c r="J28" s="111"/>
      <c r="K28" s="112">
        <f t="shared" si="3"/>
        <v>4831.684632428368</v>
      </c>
      <c r="L28" s="48"/>
    </row>
    <row r="29" spans="1:12" ht="12.75">
      <c r="A29" s="7" t="s">
        <v>302</v>
      </c>
      <c r="B29" s="8" t="s">
        <v>303</v>
      </c>
      <c r="D29" s="4">
        <f t="shared" si="0"/>
        <v>0</v>
      </c>
      <c r="F29" s="4">
        <f t="shared" si="1"/>
        <v>0</v>
      </c>
      <c r="G29" s="3">
        <v>28</v>
      </c>
      <c r="H29" s="4">
        <f t="shared" si="2"/>
        <v>0.004021255206089329</v>
      </c>
      <c r="I29" s="10">
        <f t="shared" si="4"/>
        <v>0.0013404184020297763</v>
      </c>
      <c r="J29" s="111"/>
      <c r="K29" s="112">
        <f t="shared" si="3"/>
        <v>237.5707835511513</v>
      </c>
      <c r="L29" s="48"/>
    </row>
    <row r="30" spans="1:12" ht="12.75">
      <c r="A30" s="7" t="s">
        <v>304</v>
      </c>
      <c r="B30" s="8" t="s">
        <v>305</v>
      </c>
      <c r="D30" s="4">
        <f t="shared" si="0"/>
        <v>0</v>
      </c>
      <c r="F30" s="4">
        <f t="shared" si="1"/>
        <v>0</v>
      </c>
      <c r="G30" s="3">
        <v>26</v>
      </c>
      <c r="H30" s="4">
        <f t="shared" si="2"/>
        <v>0.003734022691368663</v>
      </c>
      <c r="I30" s="10">
        <f t="shared" si="4"/>
        <v>0.001244674230456221</v>
      </c>
      <c r="J30" s="111"/>
      <c r="K30" s="112">
        <f t="shared" si="3"/>
        <v>220.60144186892623</v>
      </c>
      <c r="L30" s="48"/>
    </row>
    <row r="31" spans="1:12" ht="12.75">
      <c r="A31" s="7" t="s">
        <v>306</v>
      </c>
      <c r="B31" s="8" t="s">
        <v>307</v>
      </c>
      <c r="D31" s="4">
        <f t="shared" si="0"/>
        <v>0</v>
      </c>
      <c r="F31" s="4">
        <f t="shared" si="1"/>
        <v>0</v>
      </c>
      <c r="G31" s="3">
        <v>10</v>
      </c>
      <c r="H31" s="4">
        <f t="shared" si="2"/>
        <v>0.0014361625736033319</v>
      </c>
      <c r="I31" s="10">
        <f t="shared" si="4"/>
        <v>0.0004787208578677773</v>
      </c>
      <c r="J31" s="111"/>
      <c r="K31" s="112">
        <f t="shared" si="3"/>
        <v>84.84670841112546</v>
      </c>
      <c r="L31" s="48"/>
    </row>
    <row r="32" spans="1:12" ht="12.75">
      <c r="A32" s="7" t="s">
        <v>308</v>
      </c>
      <c r="B32" s="8" t="s">
        <v>309</v>
      </c>
      <c r="C32" s="3">
        <f>2</f>
        <v>2</v>
      </c>
      <c r="D32" s="4">
        <f t="shared" si="0"/>
        <v>0.0004880429477794046</v>
      </c>
      <c r="E32" s="3">
        <v>12</v>
      </c>
      <c r="F32" s="4">
        <f t="shared" si="1"/>
        <v>0.009787928221859706</v>
      </c>
      <c r="G32" s="3">
        <v>30</v>
      </c>
      <c r="H32" s="4">
        <f t="shared" si="2"/>
        <v>0.004308487720809996</v>
      </c>
      <c r="I32" s="10">
        <f t="shared" si="4"/>
        <v>0.004861486296816368</v>
      </c>
      <c r="J32" s="111"/>
      <c r="K32" s="112">
        <f t="shared" si="3"/>
        <v>861.6317912443828</v>
      </c>
      <c r="L32" s="48"/>
    </row>
    <row r="33" spans="1:12" ht="12.75">
      <c r="A33" s="7" t="s">
        <v>310</v>
      </c>
      <c r="B33" s="8" t="s">
        <v>311</v>
      </c>
      <c r="D33" s="4">
        <f t="shared" si="0"/>
        <v>0</v>
      </c>
      <c r="F33" s="4">
        <f t="shared" si="1"/>
        <v>0</v>
      </c>
      <c r="G33" s="3">
        <v>1</v>
      </c>
      <c r="H33" s="4">
        <f t="shared" si="2"/>
        <v>0.0001436162573603332</v>
      </c>
      <c r="I33" s="10">
        <f t="shared" si="4"/>
        <v>4.787208578677773E-05</v>
      </c>
      <c r="J33" s="111"/>
      <c r="K33" s="112">
        <f t="shared" si="3"/>
        <v>8.484670841112548</v>
      </c>
      <c r="L33" s="48"/>
    </row>
    <row r="34" spans="1:12" ht="12.75">
      <c r="A34" s="7" t="s">
        <v>312</v>
      </c>
      <c r="B34" s="8" t="s">
        <v>313</v>
      </c>
      <c r="D34" s="4">
        <f t="shared" si="0"/>
        <v>0</v>
      </c>
      <c r="E34" s="3">
        <f>1</f>
        <v>1</v>
      </c>
      <c r="F34" s="4">
        <f t="shared" si="1"/>
        <v>0.0008156606851549756</v>
      </c>
      <c r="G34" s="3">
        <f>12+2</f>
        <v>14</v>
      </c>
      <c r="H34" s="4">
        <f t="shared" si="2"/>
        <v>0.0020106276030446646</v>
      </c>
      <c r="I34" s="10">
        <f t="shared" si="4"/>
        <v>0.0009420960960665467</v>
      </c>
      <c r="J34" s="111"/>
      <c r="K34" s="112">
        <f t="shared" si="3"/>
        <v>166.97361613664145</v>
      </c>
      <c r="L34" s="48"/>
    </row>
    <row r="35" spans="1:12" ht="12.75">
      <c r="A35" s="7" t="s">
        <v>314</v>
      </c>
      <c r="B35" s="8" t="s">
        <v>315</v>
      </c>
      <c r="D35" s="4">
        <f t="shared" si="0"/>
        <v>0</v>
      </c>
      <c r="E35" s="3">
        <v>12</v>
      </c>
      <c r="F35" s="4">
        <f t="shared" si="1"/>
        <v>0.009787928221859706</v>
      </c>
      <c r="G35" s="3">
        <v>84</v>
      </c>
      <c r="H35" s="4">
        <f t="shared" si="2"/>
        <v>0.012063765618267988</v>
      </c>
      <c r="I35" s="10">
        <f t="shared" si="4"/>
        <v>0.007283897946709232</v>
      </c>
      <c r="J35" s="111"/>
      <c r="K35" s="112">
        <f t="shared" si="3"/>
        <v>1290.9710429862437</v>
      </c>
      <c r="L35" s="48"/>
    </row>
    <row r="36" spans="1:12" ht="12.75">
      <c r="A36" s="7" t="s">
        <v>316</v>
      </c>
      <c r="B36" s="8" t="s">
        <v>317</v>
      </c>
      <c r="D36" s="4">
        <f t="shared" si="0"/>
        <v>0</v>
      </c>
      <c r="F36" s="4">
        <f t="shared" si="1"/>
        <v>0</v>
      </c>
      <c r="G36" s="3">
        <v>14</v>
      </c>
      <c r="H36" s="4">
        <f t="shared" si="2"/>
        <v>0.0020106276030446646</v>
      </c>
      <c r="I36" s="10">
        <f t="shared" si="4"/>
        <v>0.0006702092010148882</v>
      </c>
      <c r="J36" s="111"/>
      <c r="K36" s="112">
        <f t="shared" si="3"/>
        <v>118.78539177557565</v>
      </c>
      <c r="L36" s="48"/>
    </row>
    <row r="37" spans="1:12" ht="12.75">
      <c r="A37" s="7" t="s">
        <v>318</v>
      </c>
      <c r="B37" s="8" t="s">
        <v>319</v>
      </c>
      <c r="D37" s="4">
        <f t="shared" si="0"/>
        <v>0</v>
      </c>
      <c r="F37" s="4">
        <f t="shared" si="1"/>
        <v>0</v>
      </c>
      <c r="G37" s="3">
        <v>37</v>
      </c>
      <c r="H37" s="4">
        <f t="shared" si="2"/>
        <v>0.005313801522332328</v>
      </c>
      <c r="I37" s="10">
        <f t="shared" si="4"/>
        <v>0.0017712671741107761</v>
      </c>
      <c r="J37" s="111"/>
      <c r="K37" s="112">
        <f t="shared" si="3"/>
        <v>313.9328211211643</v>
      </c>
      <c r="L37" s="48"/>
    </row>
    <row r="38" spans="1:12" ht="12.75">
      <c r="A38" s="7" t="s">
        <v>320</v>
      </c>
      <c r="B38" s="8" t="s">
        <v>321</v>
      </c>
      <c r="D38" s="4">
        <f t="shared" si="0"/>
        <v>0</v>
      </c>
      <c r="F38" s="4">
        <f t="shared" si="1"/>
        <v>0</v>
      </c>
      <c r="G38" s="3">
        <v>9</v>
      </c>
      <c r="H38" s="4">
        <f t="shared" si="2"/>
        <v>0.0012925463162429987</v>
      </c>
      <c r="I38" s="10">
        <f t="shared" si="4"/>
        <v>0.00043084877208099956</v>
      </c>
      <c r="J38" s="111"/>
      <c r="K38" s="112">
        <f t="shared" si="3"/>
        <v>76.36203757001293</v>
      </c>
      <c r="L38" s="48"/>
    </row>
    <row r="39" spans="1:12" ht="12.75">
      <c r="A39" s="7" t="s">
        <v>322</v>
      </c>
      <c r="B39" s="8" t="s">
        <v>323</v>
      </c>
      <c r="D39" s="4">
        <f t="shared" si="0"/>
        <v>0</v>
      </c>
      <c r="F39" s="4">
        <f t="shared" si="1"/>
        <v>0</v>
      </c>
      <c r="G39" s="3">
        <v>2</v>
      </c>
      <c r="H39" s="4">
        <f t="shared" si="2"/>
        <v>0.0002872325147206664</v>
      </c>
      <c r="I39" s="10">
        <f aca="true" t="shared" si="5" ref="I39:I70">+(D39+F39+H39)/3</f>
        <v>9.574417157355546E-05</v>
      </c>
      <c r="J39" s="111"/>
      <c r="K39" s="112">
        <f t="shared" si="3"/>
        <v>16.969341682225096</v>
      </c>
      <c r="L39" s="48"/>
    </row>
    <row r="40" spans="1:12" ht="12.75">
      <c r="A40" s="7" t="s">
        <v>324</v>
      </c>
      <c r="B40" s="8" t="s">
        <v>325</v>
      </c>
      <c r="C40" s="3">
        <f>35</f>
        <v>35</v>
      </c>
      <c r="D40" s="4">
        <f t="shared" si="0"/>
        <v>0.00854075158613958</v>
      </c>
      <c r="E40" s="3">
        <v>5</v>
      </c>
      <c r="F40" s="4">
        <f t="shared" si="1"/>
        <v>0.004078303425774877</v>
      </c>
      <c r="G40" s="3">
        <v>15</v>
      </c>
      <c r="H40" s="4">
        <f t="shared" si="2"/>
        <v>0.002154243860404998</v>
      </c>
      <c r="I40" s="10">
        <f t="shared" si="5"/>
        <v>0.004924432957439819</v>
      </c>
      <c r="J40" s="111"/>
      <c r="K40" s="112">
        <f t="shared" si="3"/>
        <v>872.788223790815</v>
      </c>
      <c r="L40" s="48"/>
    </row>
    <row r="41" spans="1:12" ht="12.75">
      <c r="A41" s="7" t="s">
        <v>326</v>
      </c>
      <c r="B41" s="8" t="s">
        <v>327</v>
      </c>
      <c r="D41" s="4">
        <f t="shared" si="0"/>
        <v>0</v>
      </c>
      <c r="F41" s="4">
        <f t="shared" si="1"/>
        <v>0</v>
      </c>
      <c r="G41" s="3">
        <v>47</v>
      </c>
      <c r="H41" s="4">
        <f t="shared" si="2"/>
        <v>0.00674996409593566</v>
      </c>
      <c r="I41" s="10">
        <f t="shared" si="5"/>
        <v>0.0022499880319785536</v>
      </c>
      <c r="J41" s="111"/>
      <c r="K41" s="112">
        <f t="shared" si="3"/>
        <v>398.77952953228976</v>
      </c>
      <c r="L41" s="48"/>
    </row>
    <row r="42" spans="1:12" ht="12.75">
      <c r="A42" s="7" t="s">
        <v>328</v>
      </c>
      <c r="B42" s="8" t="s">
        <v>329</v>
      </c>
      <c r="D42" s="4">
        <f t="shared" si="0"/>
        <v>0</v>
      </c>
      <c r="E42" s="3">
        <v>5</v>
      </c>
      <c r="F42" s="4">
        <f t="shared" si="1"/>
        <v>0.004078303425774877</v>
      </c>
      <c r="G42" s="3">
        <v>28</v>
      </c>
      <c r="H42" s="4">
        <f t="shared" si="2"/>
        <v>0.004021255206089329</v>
      </c>
      <c r="I42" s="10">
        <f t="shared" si="5"/>
        <v>0.002699852877288069</v>
      </c>
      <c r="J42" s="111"/>
      <c r="K42" s="112">
        <f t="shared" si="3"/>
        <v>478.5119053564803</v>
      </c>
      <c r="L42" s="48"/>
    </row>
    <row r="43" spans="1:12" ht="12.75">
      <c r="A43" s="7" t="s">
        <v>330</v>
      </c>
      <c r="B43" s="8" t="s">
        <v>331</v>
      </c>
      <c r="C43" s="3">
        <f>28</f>
        <v>28</v>
      </c>
      <c r="D43" s="4">
        <f t="shared" si="0"/>
        <v>0.006832601268911664</v>
      </c>
      <c r="E43" s="3">
        <v>24</v>
      </c>
      <c r="F43" s="4">
        <f t="shared" si="1"/>
        <v>0.01957585644371941</v>
      </c>
      <c r="G43" s="3">
        <v>61</v>
      </c>
      <c r="H43" s="4">
        <f t="shared" si="2"/>
        <v>0.008760591698980325</v>
      </c>
      <c r="I43" s="10">
        <f t="shared" si="5"/>
        <v>0.011723016470537133</v>
      </c>
      <c r="J43" s="111"/>
      <c r="K43" s="112">
        <f t="shared" si="3"/>
        <v>2077.7439374684827</v>
      </c>
      <c r="L43" s="48"/>
    </row>
    <row r="44" spans="1:12" ht="12.75">
      <c r="A44" s="7" t="s">
        <v>144</v>
      </c>
      <c r="B44" s="8" t="s">
        <v>332</v>
      </c>
      <c r="C44" s="3">
        <f>4+57+1+1</f>
        <v>63</v>
      </c>
      <c r="D44" s="4">
        <f t="shared" si="0"/>
        <v>0.015373352855051245</v>
      </c>
      <c r="E44" s="3">
        <v>34</v>
      </c>
      <c r="F44" s="4">
        <f t="shared" si="1"/>
        <v>0.02773246329526917</v>
      </c>
      <c r="G44" s="3">
        <v>163</v>
      </c>
      <c r="H44" s="4">
        <f t="shared" si="2"/>
        <v>0.02340944994973431</v>
      </c>
      <c r="I44" s="10">
        <f t="shared" si="5"/>
        <v>0.02217175536668491</v>
      </c>
      <c r="J44" s="111"/>
      <c r="K44" s="112">
        <f t="shared" si="3"/>
        <v>3929.6396462414186</v>
      </c>
      <c r="L44" s="48"/>
    </row>
    <row r="45" spans="1:12" ht="12.75">
      <c r="A45" s="7" t="s">
        <v>333</v>
      </c>
      <c r="B45" s="8" t="s">
        <v>334</v>
      </c>
      <c r="D45" s="4">
        <f t="shared" si="0"/>
        <v>0</v>
      </c>
      <c r="F45" s="4">
        <f t="shared" si="1"/>
        <v>0</v>
      </c>
      <c r="G45" s="3">
        <v>52</v>
      </c>
      <c r="H45" s="4">
        <f t="shared" si="2"/>
        <v>0.007468045382737326</v>
      </c>
      <c r="I45" s="10">
        <f t="shared" si="5"/>
        <v>0.002489348460912442</v>
      </c>
      <c r="J45" s="111"/>
      <c r="K45" s="112">
        <f t="shared" si="3"/>
        <v>441.20288373785246</v>
      </c>
      <c r="L45" s="48"/>
    </row>
    <row r="46" spans="1:12" ht="12.75">
      <c r="A46" s="7" t="s">
        <v>335</v>
      </c>
      <c r="B46" s="8" t="s">
        <v>336</v>
      </c>
      <c r="D46" s="4">
        <f t="shared" si="0"/>
        <v>0</v>
      </c>
      <c r="F46" s="4">
        <f t="shared" si="1"/>
        <v>0</v>
      </c>
      <c r="G46" s="3">
        <v>52</v>
      </c>
      <c r="H46" s="4">
        <f t="shared" si="2"/>
        <v>0.007468045382737326</v>
      </c>
      <c r="I46" s="10">
        <f t="shared" si="5"/>
        <v>0.002489348460912442</v>
      </c>
      <c r="J46" s="111"/>
      <c r="K46" s="112">
        <f t="shared" si="3"/>
        <v>441.20288373785246</v>
      </c>
      <c r="L46" s="48"/>
    </row>
    <row r="47" spans="1:12" ht="12.75">
      <c r="A47" s="7" t="s">
        <v>337</v>
      </c>
      <c r="B47" s="8" t="s">
        <v>338</v>
      </c>
      <c r="D47" s="4">
        <f t="shared" si="0"/>
        <v>0</v>
      </c>
      <c r="E47" s="3">
        <f>4</f>
        <v>4</v>
      </c>
      <c r="F47" s="4">
        <f t="shared" si="1"/>
        <v>0.0032626427406199023</v>
      </c>
      <c r="G47" s="3">
        <v>29</v>
      </c>
      <c r="H47" s="4">
        <f t="shared" si="2"/>
        <v>0.004164871463449663</v>
      </c>
      <c r="I47" s="10">
        <f t="shared" si="5"/>
        <v>0.0024758380680231884</v>
      </c>
      <c r="J47" s="111"/>
      <c r="K47" s="112">
        <f t="shared" si="3"/>
        <v>438.8083518365271</v>
      </c>
      <c r="L47" s="48"/>
    </row>
    <row r="48" spans="1:12" ht="12.75">
      <c r="A48" s="7" t="s">
        <v>339</v>
      </c>
      <c r="B48" s="8" t="s">
        <v>340</v>
      </c>
      <c r="C48" s="3">
        <f>13+11</f>
        <v>24</v>
      </c>
      <c r="D48" s="4">
        <f t="shared" si="0"/>
        <v>0.005856515373352855</v>
      </c>
      <c r="F48" s="4">
        <f t="shared" si="1"/>
        <v>0</v>
      </c>
      <c r="G48" s="3">
        <v>73</v>
      </c>
      <c r="H48" s="4">
        <f t="shared" si="2"/>
        <v>0.010483986787304323</v>
      </c>
      <c r="I48" s="10">
        <f t="shared" si="5"/>
        <v>0.005446834053552393</v>
      </c>
      <c r="J48" s="111"/>
      <c r="K48" s="112">
        <f t="shared" si="3"/>
        <v>965.3766555398201</v>
      </c>
      <c r="L48" s="48"/>
    </row>
    <row r="49" spans="1:12" ht="12.75">
      <c r="A49" s="7" t="s">
        <v>341</v>
      </c>
      <c r="B49" s="8" t="s">
        <v>342</v>
      </c>
      <c r="D49" s="4">
        <f t="shared" si="0"/>
        <v>0</v>
      </c>
      <c r="E49" s="3">
        <f>39</f>
        <v>39</v>
      </c>
      <c r="F49" s="4">
        <f t="shared" si="1"/>
        <v>0.03181076672104405</v>
      </c>
      <c r="G49" s="3">
        <v>44</v>
      </c>
      <c r="H49" s="4">
        <f t="shared" si="2"/>
        <v>0.00631911532385466</v>
      </c>
      <c r="I49" s="10">
        <f t="shared" si="5"/>
        <v>0.012709960681632902</v>
      </c>
      <c r="J49" s="111"/>
      <c r="K49" s="112">
        <f t="shared" si="3"/>
        <v>2252.666267090518</v>
      </c>
      <c r="L49" s="48"/>
    </row>
    <row r="50" spans="1:12" ht="12.75">
      <c r="A50" s="7" t="s">
        <v>343</v>
      </c>
      <c r="B50" s="8" t="s">
        <v>344</v>
      </c>
      <c r="C50" s="3">
        <f>1+1</f>
        <v>2</v>
      </c>
      <c r="D50" s="4">
        <f t="shared" si="0"/>
        <v>0.0004880429477794046</v>
      </c>
      <c r="E50" s="3">
        <v>3</v>
      </c>
      <c r="F50" s="4">
        <f t="shared" si="1"/>
        <v>0.0024469820554649264</v>
      </c>
      <c r="G50" s="3">
        <v>13</v>
      </c>
      <c r="H50" s="4">
        <f t="shared" si="2"/>
        <v>0.0018670113456843314</v>
      </c>
      <c r="I50" s="10">
        <f t="shared" si="5"/>
        <v>0.0016006787829762209</v>
      </c>
      <c r="J50" s="111"/>
      <c r="K50" s="112">
        <f t="shared" si="3"/>
        <v>283.6983676958775</v>
      </c>
      <c r="L50" s="48"/>
    </row>
    <row r="51" spans="1:12" ht="12.75">
      <c r="A51" s="7" t="s">
        <v>345</v>
      </c>
      <c r="B51" s="8" t="s">
        <v>346</v>
      </c>
      <c r="D51" s="4">
        <f t="shared" si="0"/>
        <v>0</v>
      </c>
      <c r="F51" s="4">
        <f t="shared" si="1"/>
        <v>0</v>
      </c>
      <c r="G51" s="3">
        <v>3</v>
      </c>
      <c r="H51" s="4">
        <f t="shared" si="2"/>
        <v>0.00043084877208099956</v>
      </c>
      <c r="I51" s="10">
        <f t="shared" si="5"/>
        <v>0.0001436162573603332</v>
      </c>
      <c r="J51" s="111"/>
      <c r="K51" s="112">
        <f t="shared" si="3"/>
        <v>25.454012523337642</v>
      </c>
      <c r="L51" s="48"/>
    </row>
    <row r="52" spans="1:12" ht="12.75">
      <c r="A52" s="7" t="s">
        <v>347</v>
      </c>
      <c r="B52" s="8" t="s">
        <v>348</v>
      </c>
      <c r="D52" s="4">
        <f t="shared" si="0"/>
        <v>0</v>
      </c>
      <c r="F52" s="4">
        <f t="shared" si="1"/>
        <v>0</v>
      </c>
      <c r="G52" s="3">
        <v>17</v>
      </c>
      <c r="H52" s="4">
        <f t="shared" si="2"/>
        <v>0.002441476375125664</v>
      </c>
      <c r="I52" s="10">
        <f t="shared" si="5"/>
        <v>0.0008138254583752214</v>
      </c>
      <c r="J52" s="111"/>
      <c r="K52" s="112">
        <f t="shared" si="3"/>
        <v>144.23940429891329</v>
      </c>
      <c r="L52" s="48"/>
    </row>
    <row r="53" spans="1:12" ht="12.75">
      <c r="A53" s="7" t="s">
        <v>349</v>
      </c>
      <c r="B53" s="8" t="s">
        <v>350</v>
      </c>
      <c r="D53" s="4">
        <f t="shared" si="0"/>
        <v>0</v>
      </c>
      <c r="E53" s="3">
        <v>5</v>
      </c>
      <c r="F53" s="4">
        <f t="shared" si="1"/>
        <v>0.004078303425774877</v>
      </c>
      <c r="G53" s="3">
        <v>17</v>
      </c>
      <c r="H53" s="4">
        <f t="shared" si="2"/>
        <v>0.002441476375125664</v>
      </c>
      <c r="I53" s="10">
        <f t="shared" si="5"/>
        <v>0.002173259933633514</v>
      </c>
      <c r="J53" s="111"/>
      <c r="K53" s="112">
        <f t="shared" si="3"/>
        <v>385.1805261042423</v>
      </c>
      <c r="L53" s="48"/>
    </row>
    <row r="54" spans="1:12" ht="12.75">
      <c r="A54" s="7" t="s">
        <v>351</v>
      </c>
      <c r="B54" s="8" t="s">
        <v>352</v>
      </c>
      <c r="D54" s="4">
        <f t="shared" si="0"/>
        <v>0</v>
      </c>
      <c r="E54" s="3">
        <v>31</v>
      </c>
      <c r="F54" s="4">
        <f t="shared" si="1"/>
        <v>0.02528548123980424</v>
      </c>
      <c r="G54" s="3">
        <v>149</v>
      </c>
      <c r="H54" s="4">
        <f t="shared" si="2"/>
        <v>0.021398822346689644</v>
      </c>
      <c r="I54" s="10">
        <f t="shared" si="5"/>
        <v>0.015561434528831295</v>
      </c>
      <c r="J54" s="111"/>
      <c r="K54" s="112">
        <f t="shared" si="3"/>
        <v>2758.0509105188094</v>
      </c>
      <c r="L54" s="48"/>
    </row>
    <row r="55" spans="1:12" ht="12.75">
      <c r="A55" s="7" t="s">
        <v>353</v>
      </c>
      <c r="B55" s="8" t="s">
        <v>354</v>
      </c>
      <c r="D55" s="4">
        <f t="shared" si="0"/>
        <v>0</v>
      </c>
      <c r="E55" s="3">
        <f>4</f>
        <v>4</v>
      </c>
      <c r="F55" s="4">
        <f t="shared" si="1"/>
        <v>0.0032626427406199023</v>
      </c>
      <c r="G55" s="3">
        <v>33</v>
      </c>
      <c r="H55" s="4">
        <f t="shared" si="2"/>
        <v>0.004739336492890996</v>
      </c>
      <c r="I55" s="10">
        <f t="shared" si="5"/>
        <v>0.002667326411170299</v>
      </c>
      <c r="J55" s="111"/>
      <c r="K55" s="112">
        <f t="shared" si="3"/>
        <v>472.7470352009772</v>
      </c>
      <c r="L55" s="48"/>
    </row>
    <row r="56" spans="1:12" ht="12.75">
      <c r="A56" s="7" t="s">
        <v>355</v>
      </c>
      <c r="B56" s="8" t="s">
        <v>356</v>
      </c>
      <c r="D56" s="4">
        <f t="shared" si="0"/>
        <v>0</v>
      </c>
      <c r="E56" s="3">
        <f>9</f>
        <v>9</v>
      </c>
      <c r="F56" s="4">
        <f t="shared" si="1"/>
        <v>0.00734094616639478</v>
      </c>
      <c r="G56" s="3">
        <v>41</v>
      </c>
      <c r="H56" s="4">
        <f t="shared" si="2"/>
        <v>0.005888266551773661</v>
      </c>
      <c r="I56" s="10">
        <f t="shared" si="5"/>
        <v>0.004409737572722814</v>
      </c>
      <c r="J56" s="111"/>
      <c r="K56" s="112">
        <f t="shared" si="3"/>
        <v>781.5655237352067</v>
      </c>
      <c r="L56" s="48"/>
    </row>
    <row r="57" spans="1:12" ht="12.75">
      <c r="A57" s="7" t="s">
        <v>357</v>
      </c>
      <c r="B57" s="8" t="s">
        <v>358</v>
      </c>
      <c r="C57" s="3">
        <f>428+375</f>
        <v>803</v>
      </c>
      <c r="D57" s="4">
        <f t="shared" si="0"/>
        <v>0.19594924353343093</v>
      </c>
      <c r="F57" s="4">
        <f t="shared" si="1"/>
        <v>0</v>
      </c>
      <c r="G57" s="3">
        <v>9</v>
      </c>
      <c r="H57" s="4">
        <f t="shared" si="2"/>
        <v>0.0012925463162429987</v>
      </c>
      <c r="I57" s="10">
        <f t="shared" si="5"/>
        <v>0.06574726328322465</v>
      </c>
      <c r="J57" s="111"/>
      <c r="K57" s="112">
        <f t="shared" si="3"/>
        <v>11652.800969374146</v>
      </c>
      <c r="L57" s="48"/>
    </row>
    <row r="58" spans="1:12" ht="12.75">
      <c r="A58" s="7" t="s">
        <v>359</v>
      </c>
      <c r="B58" s="8" t="s">
        <v>360</v>
      </c>
      <c r="C58" s="3">
        <f>316+2</f>
        <v>318</v>
      </c>
      <c r="D58" s="4">
        <f t="shared" si="0"/>
        <v>0.07759882869692533</v>
      </c>
      <c r="E58" s="3">
        <v>21</v>
      </c>
      <c r="F58" s="4">
        <f t="shared" si="1"/>
        <v>0.017128874388254486</v>
      </c>
      <c r="G58" s="3">
        <v>78</v>
      </c>
      <c r="H58" s="4">
        <f t="shared" si="2"/>
        <v>0.01120206807410599</v>
      </c>
      <c r="I58" s="10">
        <f t="shared" si="5"/>
        <v>0.03530992371976194</v>
      </c>
      <c r="J58" s="111"/>
      <c r="K58" s="112">
        <f t="shared" si="3"/>
        <v>6258.199852025667</v>
      </c>
      <c r="L58" s="48"/>
    </row>
    <row r="59" spans="1:12" ht="12.75">
      <c r="A59" s="7" t="s">
        <v>361</v>
      </c>
      <c r="B59" s="8" t="s">
        <v>362</v>
      </c>
      <c r="D59" s="4">
        <f t="shared" si="0"/>
        <v>0</v>
      </c>
      <c r="F59" s="4">
        <f t="shared" si="1"/>
        <v>0</v>
      </c>
      <c r="H59" s="4">
        <f t="shared" si="2"/>
        <v>0</v>
      </c>
      <c r="I59" s="10">
        <f t="shared" si="5"/>
        <v>0</v>
      </c>
      <c r="J59" s="111"/>
      <c r="K59" s="112">
        <f t="shared" si="3"/>
        <v>0</v>
      </c>
      <c r="L59" s="48"/>
    </row>
    <row r="60" spans="1:12" ht="12.75">
      <c r="A60" s="7" t="s">
        <v>363</v>
      </c>
      <c r="B60" s="8" t="s">
        <v>364</v>
      </c>
      <c r="C60" s="3">
        <f>78+71</f>
        <v>149</v>
      </c>
      <c r="D60" s="4">
        <f t="shared" si="0"/>
        <v>0.03635919960956564</v>
      </c>
      <c r="F60" s="4">
        <f t="shared" si="1"/>
        <v>0</v>
      </c>
      <c r="G60" s="3">
        <v>648</v>
      </c>
      <c r="H60" s="4">
        <f t="shared" si="2"/>
        <v>0.09306333476949591</v>
      </c>
      <c r="I60" s="10">
        <f t="shared" si="5"/>
        <v>0.043140844793020515</v>
      </c>
      <c r="J60" s="111"/>
      <c r="K60" s="112">
        <f t="shared" si="3"/>
        <v>7646.123244068098</v>
      </c>
      <c r="L60" s="48"/>
    </row>
    <row r="61" spans="1:12" ht="12.75">
      <c r="A61" s="7" t="s">
        <v>365</v>
      </c>
      <c r="B61" s="8" t="s">
        <v>366</v>
      </c>
      <c r="D61" s="4">
        <f t="shared" si="0"/>
        <v>0</v>
      </c>
      <c r="E61" s="3">
        <v>4</v>
      </c>
      <c r="F61" s="4">
        <f t="shared" si="1"/>
        <v>0.0032626427406199023</v>
      </c>
      <c r="G61" s="3">
        <v>13</v>
      </c>
      <c r="H61" s="4">
        <f t="shared" si="2"/>
        <v>0.0018670113456843314</v>
      </c>
      <c r="I61" s="10">
        <f t="shared" si="5"/>
        <v>0.0017098846954347446</v>
      </c>
      <c r="J61" s="111"/>
      <c r="K61" s="112">
        <f t="shared" si="3"/>
        <v>303.0536183787263</v>
      </c>
      <c r="L61" s="48"/>
    </row>
    <row r="62" spans="1:12" ht="12.75">
      <c r="A62" s="7" t="s">
        <v>367</v>
      </c>
      <c r="B62" s="8" t="s">
        <v>368</v>
      </c>
      <c r="D62" s="4">
        <f t="shared" si="0"/>
        <v>0</v>
      </c>
      <c r="E62" s="3">
        <v>21</v>
      </c>
      <c r="F62" s="4">
        <f t="shared" si="1"/>
        <v>0.017128874388254486</v>
      </c>
      <c r="G62" s="3">
        <v>55</v>
      </c>
      <c r="H62" s="4">
        <f t="shared" si="2"/>
        <v>0.007898894154818325</v>
      </c>
      <c r="I62" s="10">
        <f t="shared" si="5"/>
        <v>0.008342589514357604</v>
      </c>
      <c r="J62" s="111"/>
      <c r="K62" s="112">
        <f t="shared" si="3"/>
        <v>1478.609607843572</v>
      </c>
      <c r="L62" s="48"/>
    </row>
    <row r="63" spans="1:12" ht="12.75">
      <c r="A63" s="7" t="s">
        <v>369</v>
      </c>
      <c r="B63" s="8" t="s">
        <v>370</v>
      </c>
      <c r="D63" s="4">
        <f t="shared" si="0"/>
        <v>0</v>
      </c>
      <c r="F63" s="4">
        <f t="shared" si="1"/>
        <v>0</v>
      </c>
      <c r="G63" s="3">
        <v>27</v>
      </c>
      <c r="H63" s="4">
        <f t="shared" si="2"/>
        <v>0.003877638948728996</v>
      </c>
      <c r="I63" s="10">
        <f t="shared" si="5"/>
        <v>0.0012925463162429987</v>
      </c>
      <c r="J63" s="111"/>
      <c r="K63" s="112">
        <f t="shared" si="3"/>
        <v>229.08611271003878</v>
      </c>
      <c r="L63" s="48"/>
    </row>
    <row r="64" spans="1:12" ht="12.75">
      <c r="A64" s="7" t="s">
        <v>555</v>
      </c>
      <c r="B64" s="8" t="s">
        <v>556</v>
      </c>
      <c r="D64" s="4">
        <f t="shared" si="0"/>
        <v>0</v>
      </c>
      <c r="F64" s="4">
        <f t="shared" si="1"/>
        <v>0</v>
      </c>
      <c r="H64" s="4">
        <f t="shared" si="2"/>
        <v>0</v>
      </c>
      <c r="I64" s="10">
        <f t="shared" si="5"/>
        <v>0</v>
      </c>
      <c r="J64" s="111"/>
      <c r="K64" s="112">
        <f t="shared" si="3"/>
        <v>0</v>
      </c>
      <c r="L64" s="48"/>
    </row>
    <row r="65" spans="1:12" ht="12.75">
      <c r="A65" s="7" t="s">
        <v>371</v>
      </c>
      <c r="B65" s="8" t="s">
        <v>372</v>
      </c>
      <c r="C65" s="3">
        <f>313+4</f>
        <v>317</v>
      </c>
      <c r="D65" s="4">
        <f t="shared" si="0"/>
        <v>0.07735480722303563</v>
      </c>
      <c r="E65" s="3">
        <f>13</f>
        <v>13</v>
      </c>
      <c r="F65" s="4">
        <f t="shared" si="1"/>
        <v>0.010603588907014683</v>
      </c>
      <c r="G65" s="3">
        <v>66</v>
      </c>
      <c r="H65" s="4">
        <f t="shared" si="2"/>
        <v>0.009478672985781991</v>
      </c>
      <c r="I65" s="10">
        <f t="shared" si="5"/>
        <v>0.03247902303861077</v>
      </c>
      <c r="J65" s="111"/>
      <c r="K65" s="112">
        <f t="shared" si="3"/>
        <v>5756.461520204682</v>
      </c>
      <c r="L65" s="48"/>
    </row>
    <row r="66" spans="1:12" ht="12.75">
      <c r="A66" s="7" t="s">
        <v>373</v>
      </c>
      <c r="B66" s="8" t="s">
        <v>374</v>
      </c>
      <c r="C66" s="3">
        <f>30+3</f>
        <v>33</v>
      </c>
      <c r="D66" s="4">
        <f t="shared" si="0"/>
        <v>0.008052708638360176</v>
      </c>
      <c r="E66" s="3">
        <f>9</f>
        <v>9</v>
      </c>
      <c r="F66" s="4">
        <f t="shared" si="1"/>
        <v>0.00734094616639478</v>
      </c>
      <c r="G66" s="3">
        <v>18</v>
      </c>
      <c r="H66" s="4">
        <f t="shared" si="2"/>
        <v>0.0025850926324859974</v>
      </c>
      <c r="I66" s="10">
        <f t="shared" si="5"/>
        <v>0.005992915812413652</v>
      </c>
      <c r="J66" s="111"/>
      <c r="K66" s="112">
        <f t="shared" si="3"/>
        <v>1062.1621600801989</v>
      </c>
      <c r="L66" s="48"/>
    </row>
    <row r="67" spans="1:12" ht="12.75">
      <c r="A67" s="7" t="s">
        <v>375</v>
      </c>
      <c r="B67" s="8" t="s">
        <v>376</v>
      </c>
      <c r="C67" s="3">
        <f>35+23</f>
        <v>58</v>
      </c>
      <c r="D67" s="4">
        <f t="shared" si="0"/>
        <v>0.014153245485602733</v>
      </c>
      <c r="F67" s="4">
        <f t="shared" si="1"/>
        <v>0</v>
      </c>
      <c r="G67" s="3">
        <v>442</v>
      </c>
      <c r="H67" s="4">
        <f t="shared" si="2"/>
        <v>0.06347838575326727</v>
      </c>
      <c r="I67" s="10">
        <f t="shared" si="5"/>
        <v>0.025877210412956667</v>
      </c>
      <c r="J67" s="111"/>
      <c r="K67" s="112">
        <f t="shared" si="3"/>
        <v>4586.3807484400395</v>
      </c>
      <c r="L67" s="48"/>
    </row>
    <row r="68" spans="1:12" ht="12.75">
      <c r="A68" s="7" t="s">
        <v>377</v>
      </c>
      <c r="B68" s="8" t="s">
        <v>378</v>
      </c>
      <c r="C68" s="3">
        <f>9</f>
        <v>9</v>
      </c>
      <c r="D68" s="4">
        <f t="shared" si="0"/>
        <v>0.0021961932650073207</v>
      </c>
      <c r="E68" s="3">
        <v>3</v>
      </c>
      <c r="F68" s="4">
        <f t="shared" si="1"/>
        <v>0.0024469820554649264</v>
      </c>
      <c r="G68" s="3">
        <v>50</v>
      </c>
      <c r="H68" s="4">
        <f t="shared" si="2"/>
        <v>0.007180812868016659</v>
      </c>
      <c r="I68" s="10">
        <f t="shared" si="5"/>
        <v>0.003941329396162968</v>
      </c>
      <c r="J68" s="111"/>
      <c r="K68" s="112">
        <f t="shared" si="3"/>
        <v>698.5465966908012</v>
      </c>
      <c r="L68" s="48"/>
    </row>
    <row r="69" spans="1:12" ht="12.75">
      <c r="A69" s="7" t="s">
        <v>585</v>
      </c>
      <c r="B69" s="8" t="s">
        <v>586</v>
      </c>
      <c r="C69" s="3">
        <f>2</f>
        <v>2</v>
      </c>
      <c r="D69" s="4">
        <f t="shared" si="0"/>
        <v>0.0004880429477794046</v>
      </c>
      <c r="F69" s="4">
        <f t="shared" si="1"/>
        <v>0</v>
      </c>
      <c r="G69" s="3">
        <v>20</v>
      </c>
      <c r="H69" s="4">
        <f t="shared" si="2"/>
        <v>0.0028723251472066638</v>
      </c>
      <c r="I69" s="10">
        <f t="shared" si="5"/>
        <v>0.0011201226983286895</v>
      </c>
      <c r="J69" s="111"/>
      <c r="K69" s="112">
        <f t="shared" si="3"/>
        <v>198.52639050046795</v>
      </c>
      <c r="L69" s="48"/>
    </row>
    <row r="70" spans="1:12" ht="12.75">
      <c r="A70" s="7" t="s">
        <v>379</v>
      </c>
      <c r="B70" s="8" t="s">
        <v>380</v>
      </c>
      <c r="D70" s="4">
        <f t="shared" si="0"/>
        <v>0</v>
      </c>
      <c r="E70" s="3">
        <f>12</f>
        <v>12</v>
      </c>
      <c r="F70" s="4">
        <f t="shared" si="1"/>
        <v>0.009787928221859706</v>
      </c>
      <c r="G70" s="3">
        <v>23</v>
      </c>
      <c r="H70" s="4">
        <f t="shared" si="2"/>
        <v>0.0033031739192876633</v>
      </c>
      <c r="I70" s="10">
        <f t="shared" si="5"/>
        <v>0.0043637007137157895</v>
      </c>
      <c r="J70" s="111"/>
      <c r="K70" s="112">
        <f t="shared" si="3"/>
        <v>773.4061216783781</v>
      </c>
      <c r="L70" s="48"/>
    </row>
    <row r="71" spans="1:12" ht="12.75">
      <c r="A71" s="7" t="s">
        <v>381</v>
      </c>
      <c r="B71" s="8" t="s">
        <v>382</v>
      </c>
      <c r="C71" s="3">
        <f>216+2</f>
        <v>218</v>
      </c>
      <c r="D71" s="4">
        <f t="shared" si="0"/>
        <v>0.0531966813079551</v>
      </c>
      <c r="E71" s="3">
        <f>7+12+5+5+3</f>
        <v>32</v>
      </c>
      <c r="F71" s="4">
        <f t="shared" si="1"/>
        <v>0.026101141924959218</v>
      </c>
      <c r="G71" s="3">
        <v>149</v>
      </c>
      <c r="H71" s="4">
        <f t="shared" si="2"/>
        <v>0.021398822346689644</v>
      </c>
      <c r="I71" s="10">
        <f aca="true" t="shared" si="6" ref="I71:I100">+(D71+F71+H71)/3</f>
        <v>0.03356554852653466</v>
      </c>
      <c r="J71" s="111"/>
      <c r="K71" s="112">
        <f t="shared" si="3"/>
        <v>5949.03326580553</v>
      </c>
      <c r="L71" s="48"/>
    </row>
    <row r="72" spans="1:12" ht="12.75">
      <c r="A72" s="7" t="s">
        <v>577</v>
      </c>
      <c r="B72" s="8" t="s">
        <v>578</v>
      </c>
      <c r="D72" s="4">
        <f aca="true" t="shared" si="7" ref="D72:D99">C72/$C$100</f>
        <v>0</v>
      </c>
      <c r="E72" s="3">
        <v>6</v>
      </c>
      <c r="F72" s="4">
        <f aca="true" t="shared" si="8" ref="F72:F99">E72/$E$100</f>
        <v>0.004893964110929853</v>
      </c>
      <c r="G72" s="3">
        <v>7</v>
      </c>
      <c r="H72" s="4">
        <f aca="true" t="shared" si="9" ref="H72:H99">G72/$G$100</f>
        <v>0.0010053138015223323</v>
      </c>
      <c r="I72" s="10">
        <f t="shared" si="6"/>
        <v>0.0019664259708173947</v>
      </c>
      <c r="J72" s="111"/>
      <c r="K72" s="112">
        <f aca="true" t="shared" si="10" ref="K72:K99">I72*$K$100</f>
        <v>348.5220420541825</v>
      </c>
      <c r="L72" s="48"/>
    </row>
    <row r="73" spans="1:12" ht="12.75">
      <c r="A73" s="7" t="s">
        <v>383</v>
      </c>
      <c r="B73" s="8" t="s">
        <v>384</v>
      </c>
      <c r="C73" s="3">
        <f>30+18</f>
        <v>48</v>
      </c>
      <c r="D73" s="4">
        <f t="shared" si="7"/>
        <v>0.01171303074670571</v>
      </c>
      <c r="F73" s="4">
        <f t="shared" si="8"/>
        <v>0</v>
      </c>
      <c r="G73" s="3">
        <v>370</v>
      </c>
      <c r="H73" s="4">
        <f t="shared" si="9"/>
        <v>0.05313801522332328</v>
      </c>
      <c r="I73" s="10">
        <f t="shared" si="6"/>
        <v>0.021617015323342998</v>
      </c>
      <c r="J73" s="111"/>
      <c r="K73" s="112">
        <f t="shared" si="10"/>
        <v>3831.319579488851</v>
      </c>
      <c r="L73" s="48"/>
    </row>
    <row r="74" spans="1:12" ht="12.75">
      <c r="A74" s="7" t="s">
        <v>385</v>
      </c>
      <c r="B74" s="8" t="s">
        <v>386</v>
      </c>
      <c r="D74" s="4">
        <f t="shared" si="7"/>
        <v>0</v>
      </c>
      <c r="E74" s="3">
        <v>3</v>
      </c>
      <c r="F74" s="4">
        <f t="shared" si="8"/>
        <v>0.0024469820554649264</v>
      </c>
      <c r="G74" s="3">
        <v>16</v>
      </c>
      <c r="H74" s="4">
        <f t="shared" si="9"/>
        <v>0.002297860117765331</v>
      </c>
      <c r="I74" s="10">
        <f t="shared" si="6"/>
        <v>0.001581614057743419</v>
      </c>
      <c r="J74" s="111"/>
      <c r="K74" s="112">
        <f t="shared" si="10"/>
        <v>280.3194065409981</v>
      </c>
      <c r="L74" s="48"/>
    </row>
    <row r="75" spans="1:12" ht="12.75">
      <c r="A75" s="7" t="s">
        <v>387</v>
      </c>
      <c r="B75" s="8" t="s">
        <v>388</v>
      </c>
      <c r="C75" s="3">
        <f>11+7</f>
        <v>18</v>
      </c>
      <c r="D75" s="4">
        <f t="shared" si="7"/>
        <v>0.004392386530014641</v>
      </c>
      <c r="E75" s="3">
        <v>52</v>
      </c>
      <c r="F75" s="4">
        <f t="shared" si="8"/>
        <v>0.04241435562805873</v>
      </c>
      <c r="G75" s="3">
        <v>108</v>
      </c>
      <c r="H75" s="4">
        <f t="shared" si="9"/>
        <v>0.015510555794915984</v>
      </c>
      <c r="I75" s="10">
        <f t="shared" si="6"/>
        <v>0.02077243265099645</v>
      </c>
      <c r="J75" s="111"/>
      <c r="K75" s="112">
        <f t="shared" si="10"/>
        <v>3681.6288807195297</v>
      </c>
      <c r="L75" s="48"/>
    </row>
    <row r="76" spans="1:12" ht="12.75">
      <c r="A76" s="7" t="s">
        <v>389</v>
      </c>
      <c r="B76" s="8" t="s">
        <v>390</v>
      </c>
      <c r="D76" s="4">
        <f t="shared" si="7"/>
        <v>0</v>
      </c>
      <c r="E76" s="3">
        <v>7</v>
      </c>
      <c r="F76" s="4">
        <f t="shared" si="8"/>
        <v>0.005709624796084829</v>
      </c>
      <c r="G76" s="3">
        <v>43</v>
      </c>
      <c r="H76" s="4">
        <f t="shared" si="9"/>
        <v>0.0061754990664943275</v>
      </c>
      <c r="I76" s="10">
        <f t="shared" si="6"/>
        <v>0.003961707954193052</v>
      </c>
      <c r="J76" s="111"/>
      <c r="K76" s="112">
        <f t="shared" si="10"/>
        <v>702.1584166953</v>
      </c>
      <c r="L76" s="48"/>
    </row>
    <row r="77" spans="1:12" ht="12.75">
      <c r="A77" s="7" t="s">
        <v>391</v>
      </c>
      <c r="B77" s="8" t="s">
        <v>392</v>
      </c>
      <c r="D77" s="4">
        <f t="shared" si="7"/>
        <v>0</v>
      </c>
      <c r="E77" s="3">
        <f>9</f>
        <v>9</v>
      </c>
      <c r="F77" s="4">
        <f t="shared" si="8"/>
        <v>0.00734094616639478</v>
      </c>
      <c r="G77" s="3">
        <v>50</v>
      </c>
      <c r="H77" s="4">
        <f t="shared" si="9"/>
        <v>0.007180812868016659</v>
      </c>
      <c r="I77" s="10">
        <f t="shared" si="6"/>
        <v>0.004840586344803813</v>
      </c>
      <c r="J77" s="111"/>
      <c r="K77" s="112">
        <f t="shared" si="10"/>
        <v>857.9275613052196</v>
      </c>
      <c r="L77" s="48"/>
    </row>
    <row r="78" spans="1:12" ht="12.75">
      <c r="A78" s="7" t="s">
        <v>393</v>
      </c>
      <c r="B78" s="8" t="s">
        <v>394</v>
      </c>
      <c r="D78" s="4">
        <f t="shared" si="7"/>
        <v>0</v>
      </c>
      <c r="F78" s="4">
        <f t="shared" si="8"/>
        <v>0</v>
      </c>
      <c r="G78" s="3">
        <v>17</v>
      </c>
      <c r="H78" s="4">
        <f t="shared" si="9"/>
        <v>0.002441476375125664</v>
      </c>
      <c r="I78" s="10">
        <f t="shared" si="6"/>
        <v>0.0008138254583752214</v>
      </c>
      <c r="J78" s="111"/>
      <c r="K78" s="112">
        <f t="shared" si="10"/>
        <v>144.23940429891329</v>
      </c>
      <c r="L78" s="48"/>
    </row>
    <row r="79" spans="1:12" ht="12.75">
      <c r="A79" s="7" t="s">
        <v>395</v>
      </c>
      <c r="B79" s="8" t="s">
        <v>553</v>
      </c>
      <c r="D79" s="4">
        <f t="shared" si="7"/>
        <v>0</v>
      </c>
      <c r="F79" s="4">
        <f t="shared" si="8"/>
        <v>0</v>
      </c>
      <c r="G79" s="3">
        <f>12+100</f>
        <v>112</v>
      </c>
      <c r="H79" s="4">
        <f t="shared" si="9"/>
        <v>0.016085020824357317</v>
      </c>
      <c r="I79" s="10">
        <f t="shared" si="6"/>
        <v>0.005361673608119105</v>
      </c>
      <c r="J79" s="111"/>
      <c r="K79" s="112">
        <f t="shared" si="10"/>
        <v>950.2831342046052</v>
      </c>
      <c r="L79" s="48"/>
    </row>
    <row r="80" spans="1:12" ht="12.75">
      <c r="A80" s="7" t="s">
        <v>396</v>
      </c>
      <c r="B80" s="8" t="s">
        <v>397</v>
      </c>
      <c r="C80" s="3">
        <f>3</f>
        <v>3</v>
      </c>
      <c r="D80" s="4">
        <f t="shared" si="7"/>
        <v>0.0007320644216691069</v>
      </c>
      <c r="F80" s="4">
        <f t="shared" si="8"/>
        <v>0</v>
      </c>
      <c r="G80" s="3">
        <v>61</v>
      </c>
      <c r="H80" s="4">
        <f t="shared" si="9"/>
        <v>0.008760591698980325</v>
      </c>
      <c r="I80" s="10">
        <f t="shared" si="6"/>
        <v>0.003164218706883144</v>
      </c>
      <c r="J80" s="111"/>
      <c r="K80" s="112">
        <f t="shared" si="10"/>
        <v>560.8143818251909</v>
      </c>
      <c r="L80" s="48"/>
    </row>
    <row r="81" spans="1:12" ht="12.75">
      <c r="A81" s="7" t="s">
        <v>398</v>
      </c>
      <c r="B81" s="8" t="s">
        <v>399</v>
      </c>
      <c r="D81" s="4">
        <f t="shared" si="7"/>
        <v>0</v>
      </c>
      <c r="F81" s="4">
        <f t="shared" si="8"/>
        <v>0</v>
      </c>
      <c r="G81" s="3">
        <v>12</v>
      </c>
      <c r="H81" s="4">
        <f t="shared" si="9"/>
        <v>0.0017233950883239983</v>
      </c>
      <c r="I81" s="10">
        <f t="shared" si="6"/>
        <v>0.0005744650294413328</v>
      </c>
      <c r="J81" s="111"/>
      <c r="K81" s="112">
        <f t="shared" si="10"/>
        <v>101.81605009335057</v>
      </c>
      <c r="L81" s="48"/>
    </row>
    <row r="82" spans="1:12" ht="12.75">
      <c r="A82" s="7" t="s">
        <v>400</v>
      </c>
      <c r="B82" s="8" t="s">
        <v>401</v>
      </c>
      <c r="D82" s="4">
        <f t="shared" si="7"/>
        <v>0</v>
      </c>
      <c r="F82" s="4">
        <f t="shared" si="8"/>
        <v>0</v>
      </c>
      <c r="G82" s="3">
        <v>4</v>
      </c>
      <c r="H82" s="4">
        <f t="shared" si="9"/>
        <v>0.0005744650294413328</v>
      </c>
      <c r="I82" s="10">
        <f t="shared" si="6"/>
        <v>0.00019148834314711093</v>
      </c>
      <c r="J82" s="111"/>
      <c r="K82" s="112">
        <f t="shared" si="10"/>
        <v>33.93868336445019</v>
      </c>
      <c r="L82" s="48"/>
    </row>
    <row r="83" spans="1:12" ht="12.75">
      <c r="A83" s="7" t="s">
        <v>402</v>
      </c>
      <c r="B83" s="8" t="s">
        <v>403</v>
      </c>
      <c r="D83" s="4">
        <f t="shared" si="7"/>
        <v>0</v>
      </c>
      <c r="F83" s="4">
        <f t="shared" si="8"/>
        <v>0</v>
      </c>
      <c r="G83" s="3">
        <v>14</v>
      </c>
      <c r="H83" s="4">
        <f t="shared" si="9"/>
        <v>0.0020106276030446646</v>
      </c>
      <c r="I83" s="10">
        <f t="shared" si="6"/>
        <v>0.0006702092010148882</v>
      </c>
      <c r="J83" s="111"/>
      <c r="K83" s="112">
        <f t="shared" si="10"/>
        <v>118.78539177557565</v>
      </c>
      <c r="L83" s="48"/>
    </row>
    <row r="84" spans="1:12" ht="12.75">
      <c r="A84" s="7" t="s">
        <v>404</v>
      </c>
      <c r="B84" s="8" t="s">
        <v>405</v>
      </c>
      <c r="D84" s="4">
        <f t="shared" si="7"/>
        <v>0</v>
      </c>
      <c r="F84" s="4">
        <f t="shared" si="8"/>
        <v>0</v>
      </c>
      <c r="G84" s="3">
        <v>65</v>
      </c>
      <c r="H84" s="4">
        <f t="shared" si="9"/>
        <v>0.009335056728421658</v>
      </c>
      <c r="I84" s="10">
        <f t="shared" si="6"/>
        <v>0.0031116855761405527</v>
      </c>
      <c r="J84" s="111"/>
      <c r="K84" s="112">
        <f t="shared" si="10"/>
        <v>551.5036046723156</v>
      </c>
      <c r="L84" s="48"/>
    </row>
    <row r="85" spans="1:12" ht="12.75">
      <c r="A85" s="7" t="s">
        <v>406</v>
      </c>
      <c r="B85" s="8" t="s">
        <v>407</v>
      </c>
      <c r="D85" s="4">
        <f t="shared" si="7"/>
        <v>0</v>
      </c>
      <c r="E85" s="3">
        <v>3</v>
      </c>
      <c r="F85" s="4">
        <f t="shared" si="8"/>
        <v>0.0024469820554649264</v>
      </c>
      <c r="G85" s="3">
        <v>10</v>
      </c>
      <c r="H85" s="4">
        <f t="shared" si="9"/>
        <v>0.0014361625736033319</v>
      </c>
      <c r="I85" s="10">
        <f t="shared" si="6"/>
        <v>0.0012943815430227527</v>
      </c>
      <c r="J85" s="111"/>
      <c r="K85" s="112">
        <f t="shared" si="10"/>
        <v>229.41138149432282</v>
      </c>
      <c r="L85" s="48"/>
    </row>
    <row r="86" spans="1:12" ht="12.75">
      <c r="A86" s="7" t="s">
        <v>408</v>
      </c>
      <c r="B86" s="8" t="s">
        <v>409</v>
      </c>
      <c r="C86" s="3">
        <f>1+1</f>
        <v>2</v>
      </c>
      <c r="D86" s="4">
        <f t="shared" si="7"/>
        <v>0.0004880429477794046</v>
      </c>
      <c r="E86" s="3">
        <v>8</v>
      </c>
      <c r="F86" s="4">
        <f t="shared" si="8"/>
        <v>0.0065252854812398045</v>
      </c>
      <c r="G86" s="3">
        <v>42</v>
      </c>
      <c r="H86" s="4">
        <f t="shared" si="9"/>
        <v>0.006031882809133994</v>
      </c>
      <c r="I86" s="10">
        <f t="shared" si="6"/>
        <v>0.004348403746051068</v>
      </c>
      <c r="J86" s="111"/>
      <c r="K86" s="112">
        <f t="shared" si="10"/>
        <v>770.6949438934704</v>
      </c>
      <c r="L86" s="48"/>
    </row>
    <row r="87" spans="1:12" ht="12.75">
      <c r="A87" s="7" t="s">
        <v>410</v>
      </c>
      <c r="B87" s="8" t="s">
        <v>411</v>
      </c>
      <c r="C87" s="3">
        <f>349+3</f>
        <v>352</v>
      </c>
      <c r="D87" s="4">
        <f t="shared" si="7"/>
        <v>0.08589555880917521</v>
      </c>
      <c r="E87" s="3">
        <f>8+23+2</f>
        <v>33</v>
      </c>
      <c r="F87" s="4">
        <f t="shared" si="8"/>
        <v>0.026916802610114192</v>
      </c>
      <c r="G87" s="3">
        <v>123</v>
      </c>
      <c r="H87" s="4">
        <f t="shared" si="9"/>
        <v>0.017664799655320983</v>
      </c>
      <c r="I87" s="10">
        <f t="shared" si="6"/>
        <v>0.04349238702487013</v>
      </c>
      <c r="J87" s="111"/>
      <c r="K87" s="112">
        <f t="shared" si="10"/>
        <v>7708.429284738209</v>
      </c>
      <c r="L87" s="48"/>
    </row>
    <row r="88" spans="1:12" ht="12.75">
      <c r="A88" s="7" t="s">
        <v>412</v>
      </c>
      <c r="B88" s="8" t="s">
        <v>413</v>
      </c>
      <c r="D88" s="4">
        <f t="shared" si="7"/>
        <v>0</v>
      </c>
      <c r="F88" s="4">
        <f t="shared" si="8"/>
        <v>0</v>
      </c>
      <c r="H88" s="4">
        <f t="shared" si="9"/>
        <v>0</v>
      </c>
      <c r="I88" s="10">
        <f t="shared" si="6"/>
        <v>0</v>
      </c>
      <c r="J88" s="111"/>
      <c r="K88" s="112">
        <f t="shared" si="10"/>
        <v>0</v>
      </c>
      <c r="L88" s="48"/>
    </row>
    <row r="89" spans="1:12" ht="12.75">
      <c r="A89" s="7" t="s">
        <v>414</v>
      </c>
      <c r="B89" s="8" t="s">
        <v>415</v>
      </c>
      <c r="D89" s="4">
        <f t="shared" si="7"/>
        <v>0</v>
      </c>
      <c r="F89" s="4">
        <f t="shared" si="8"/>
        <v>0</v>
      </c>
      <c r="G89" s="3">
        <v>9</v>
      </c>
      <c r="H89" s="4">
        <f t="shared" si="9"/>
        <v>0.0012925463162429987</v>
      </c>
      <c r="I89" s="10">
        <f t="shared" si="6"/>
        <v>0.00043084877208099956</v>
      </c>
      <c r="J89" s="111"/>
      <c r="K89" s="112">
        <f t="shared" si="10"/>
        <v>76.36203757001293</v>
      </c>
      <c r="L89" s="48"/>
    </row>
    <row r="90" spans="1:12" ht="12.75">
      <c r="A90" s="7" t="s">
        <v>416</v>
      </c>
      <c r="B90" s="8" t="s">
        <v>417</v>
      </c>
      <c r="D90" s="4">
        <f t="shared" si="7"/>
        <v>0</v>
      </c>
      <c r="F90" s="4">
        <f t="shared" si="8"/>
        <v>0</v>
      </c>
      <c r="H90" s="4">
        <f t="shared" si="9"/>
        <v>0</v>
      </c>
      <c r="I90" s="10">
        <f t="shared" si="6"/>
        <v>0</v>
      </c>
      <c r="J90" s="111"/>
      <c r="K90" s="112">
        <f t="shared" si="10"/>
        <v>0</v>
      </c>
      <c r="L90" s="48"/>
    </row>
    <row r="91" spans="1:12" ht="12.75">
      <c r="A91" s="7" t="s">
        <v>418</v>
      </c>
      <c r="B91" s="8" t="s">
        <v>419</v>
      </c>
      <c r="C91" s="3">
        <f>167+24</f>
        <v>191</v>
      </c>
      <c r="D91" s="4">
        <f t="shared" si="7"/>
        <v>0.04660810151293314</v>
      </c>
      <c r="E91" s="3">
        <f>44</f>
        <v>44</v>
      </c>
      <c r="F91" s="4">
        <f t="shared" si="8"/>
        <v>0.03588907014681892</v>
      </c>
      <c r="G91" s="3">
        <v>103</v>
      </c>
      <c r="H91" s="4">
        <f t="shared" si="9"/>
        <v>0.014792474508114318</v>
      </c>
      <c r="I91" s="10">
        <f t="shared" si="6"/>
        <v>0.03242988205595546</v>
      </c>
      <c r="J91" s="111"/>
      <c r="K91" s="112">
        <f t="shared" si="10"/>
        <v>5747.7519547912125</v>
      </c>
      <c r="L91" s="48"/>
    </row>
    <row r="92" spans="1:12" ht="12.75">
      <c r="A92" s="7" t="s">
        <v>420</v>
      </c>
      <c r="B92" s="8" t="s">
        <v>421</v>
      </c>
      <c r="C92" s="3">
        <f>3+1</f>
        <v>4</v>
      </c>
      <c r="D92" s="4">
        <f t="shared" si="7"/>
        <v>0.0009760858955588092</v>
      </c>
      <c r="F92" s="4">
        <f t="shared" si="8"/>
        <v>0</v>
      </c>
      <c r="G92" s="3">
        <v>83</v>
      </c>
      <c r="H92" s="4">
        <f t="shared" si="9"/>
        <v>0.011920149360907654</v>
      </c>
      <c r="I92" s="10">
        <f t="shared" si="6"/>
        <v>0.004298745085488821</v>
      </c>
      <c r="J92" s="111"/>
      <c r="K92" s="112">
        <f t="shared" si="10"/>
        <v>761.8936271687754</v>
      </c>
      <c r="L92" s="48"/>
    </row>
    <row r="93" spans="1:12" ht="12.75">
      <c r="A93" s="7" t="s">
        <v>422</v>
      </c>
      <c r="B93" s="8" t="s">
        <v>423</v>
      </c>
      <c r="C93" s="3">
        <f>72</f>
        <v>72</v>
      </c>
      <c r="D93" s="4">
        <f t="shared" si="7"/>
        <v>0.017569546120058566</v>
      </c>
      <c r="E93" s="3">
        <v>10</v>
      </c>
      <c r="F93" s="4">
        <f t="shared" si="8"/>
        <v>0.008156606851549755</v>
      </c>
      <c r="G93" s="3">
        <v>626</v>
      </c>
      <c r="H93" s="4">
        <f t="shared" si="9"/>
        <v>0.08990377710756858</v>
      </c>
      <c r="I93" s="10">
        <f t="shared" si="6"/>
        <v>0.0385433100263923</v>
      </c>
      <c r="J93" s="111"/>
      <c r="K93" s="112">
        <f t="shared" si="10"/>
        <v>6831.273242562926</v>
      </c>
      <c r="L93" s="48"/>
    </row>
    <row r="94" spans="1:12" ht="12.75">
      <c r="A94" s="7" t="s">
        <v>424</v>
      </c>
      <c r="B94" s="8" t="s">
        <v>425</v>
      </c>
      <c r="C94" s="3">
        <f>4+3</f>
        <v>7</v>
      </c>
      <c r="D94" s="4">
        <f t="shared" si="7"/>
        <v>0.001708150317227916</v>
      </c>
      <c r="E94" s="3">
        <v>2</v>
      </c>
      <c r="F94" s="4">
        <f t="shared" si="8"/>
        <v>0.0016313213703099511</v>
      </c>
      <c r="G94" s="3">
        <v>65</v>
      </c>
      <c r="H94" s="4">
        <f t="shared" si="9"/>
        <v>0.009335056728421658</v>
      </c>
      <c r="I94" s="10">
        <f t="shared" si="6"/>
        <v>0.0042248428053198415</v>
      </c>
      <c r="J94" s="111"/>
      <c r="K94" s="112">
        <f t="shared" si="10"/>
        <v>748.7954612682067</v>
      </c>
      <c r="L94" s="48"/>
    </row>
    <row r="95" spans="1:12" ht="12.75">
      <c r="A95" s="7" t="s">
        <v>610</v>
      </c>
      <c r="B95" s="8" t="s">
        <v>611</v>
      </c>
      <c r="D95" s="4">
        <f t="shared" si="7"/>
        <v>0</v>
      </c>
      <c r="E95" s="3">
        <v>2</v>
      </c>
      <c r="F95" s="4">
        <f t="shared" si="8"/>
        <v>0.0016313213703099511</v>
      </c>
      <c r="G95" s="3">
        <v>2</v>
      </c>
      <c r="H95" s="4">
        <f t="shared" si="9"/>
        <v>0.0002872325147206664</v>
      </c>
      <c r="I95" s="10">
        <f t="shared" si="6"/>
        <v>0.0006395179616768725</v>
      </c>
      <c r="J95" s="111"/>
      <c r="K95" s="112">
        <f t="shared" si="10"/>
        <v>113.34579040435669</v>
      </c>
      <c r="L95" s="48"/>
    </row>
    <row r="96" spans="1:12" ht="12.75">
      <c r="A96" s="7" t="s">
        <v>426</v>
      </c>
      <c r="B96" s="8" t="s">
        <v>427</v>
      </c>
      <c r="C96" s="3">
        <f>49+79</f>
        <v>128</v>
      </c>
      <c r="D96" s="4">
        <f t="shared" si="7"/>
        <v>0.031234748657881894</v>
      </c>
      <c r="E96" s="3">
        <f>450</f>
        <v>450</v>
      </c>
      <c r="F96" s="4">
        <f t="shared" si="8"/>
        <v>0.367047308319739</v>
      </c>
      <c r="G96" s="3">
        <v>519</v>
      </c>
      <c r="H96" s="4">
        <f t="shared" si="9"/>
        <v>0.07453683757001292</v>
      </c>
      <c r="I96" s="10">
        <f t="shared" si="6"/>
        <v>0.1576062981825446</v>
      </c>
      <c r="J96" s="111"/>
      <c r="K96" s="112">
        <f t="shared" si="10"/>
        <v>27933.55544442291</v>
      </c>
      <c r="L96" s="48"/>
    </row>
    <row r="97" spans="1:12" ht="12.75">
      <c r="A97" s="7" t="s">
        <v>428</v>
      </c>
      <c r="B97" s="8" t="s">
        <v>429</v>
      </c>
      <c r="D97" s="4">
        <f t="shared" si="7"/>
        <v>0</v>
      </c>
      <c r="E97" s="3">
        <v>8</v>
      </c>
      <c r="F97" s="4">
        <f t="shared" si="8"/>
        <v>0.0065252854812398045</v>
      </c>
      <c r="G97" s="3">
        <v>8</v>
      </c>
      <c r="H97" s="4">
        <f t="shared" si="9"/>
        <v>0.0011489300588826655</v>
      </c>
      <c r="I97" s="10">
        <f t="shared" si="6"/>
        <v>0.00255807184670749</v>
      </c>
      <c r="J97" s="111"/>
      <c r="K97" s="112">
        <f t="shared" si="10"/>
        <v>453.38316161742677</v>
      </c>
      <c r="L97" s="48"/>
    </row>
    <row r="98" spans="1:12" ht="12.75">
      <c r="A98" s="7" t="s">
        <v>430</v>
      </c>
      <c r="B98" s="8" t="s">
        <v>431</v>
      </c>
      <c r="D98" s="4">
        <f t="shared" si="7"/>
        <v>0</v>
      </c>
      <c r="F98" s="4">
        <f t="shared" si="8"/>
        <v>0</v>
      </c>
      <c r="G98" s="3">
        <v>13</v>
      </c>
      <c r="H98" s="4">
        <f t="shared" si="9"/>
        <v>0.0018670113456843314</v>
      </c>
      <c r="I98" s="10">
        <f t="shared" si="6"/>
        <v>0.0006223371152281105</v>
      </c>
      <c r="J98" s="111"/>
      <c r="K98" s="112">
        <f t="shared" si="10"/>
        <v>110.30072093446311</v>
      </c>
      <c r="L98" s="48"/>
    </row>
    <row r="99" spans="1:12" ht="12.75">
      <c r="A99" s="7" t="s">
        <v>432</v>
      </c>
      <c r="B99" s="8" t="s">
        <v>433</v>
      </c>
      <c r="D99" s="4">
        <f t="shared" si="7"/>
        <v>0</v>
      </c>
      <c r="F99" s="4">
        <f t="shared" si="8"/>
        <v>0</v>
      </c>
      <c r="G99" s="3">
        <v>10</v>
      </c>
      <c r="H99" s="4">
        <f t="shared" si="9"/>
        <v>0.0014361625736033319</v>
      </c>
      <c r="I99" s="10">
        <f t="shared" si="6"/>
        <v>0.0004787208578677773</v>
      </c>
      <c r="J99" s="111"/>
      <c r="K99" s="112">
        <f t="shared" si="10"/>
        <v>84.84670841112546</v>
      </c>
      <c r="L99" s="48"/>
    </row>
    <row r="100" spans="1:12" ht="13.5" thickBot="1">
      <c r="A100" s="14" t="s">
        <v>434</v>
      </c>
      <c r="B100" s="17"/>
      <c r="C100" s="1">
        <f aca="true" t="shared" si="11" ref="C100:H100">SUM(C7:C99)</f>
        <v>4098</v>
      </c>
      <c r="D100" s="15">
        <f t="shared" si="11"/>
        <v>1</v>
      </c>
      <c r="E100" s="1">
        <f t="shared" si="11"/>
        <v>1226</v>
      </c>
      <c r="F100" s="15">
        <f t="shared" si="11"/>
        <v>1</v>
      </c>
      <c r="G100" s="1">
        <f t="shared" si="11"/>
        <v>6963</v>
      </c>
      <c r="H100" s="15">
        <f t="shared" si="11"/>
        <v>1</v>
      </c>
      <c r="I100" s="10">
        <f t="shared" si="6"/>
        <v>1</v>
      </c>
      <c r="J100" s="113"/>
      <c r="K100" s="114">
        <f>'FY12 to FY11 Comparison'!K14:L14</f>
        <v>177236.2892</v>
      </c>
      <c r="L100" s="66"/>
    </row>
    <row r="102" ht="12.75">
      <c r="K102" s="76">
        <f>SUM(K7:K99)</f>
        <v>177236.28919999994</v>
      </c>
    </row>
  </sheetData>
  <mergeCells count="2">
    <mergeCell ref="J3:L4"/>
    <mergeCell ref="J5:L5"/>
  </mergeCells>
  <printOptions/>
  <pageMargins left="0.25" right="0.25" top="0.25" bottom="0.25" header="0.5" footer="0.5"/>
  <pageSetup fitToHeight="2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workbookViewId="0" topLeftCell="A1">
      <pane xSplit="1" ySplit="5" topLeftCell="B6" activePane="bottomRight" state="frozen"/>
      <selection pane="topLeft" activeCell="R47" sqref="A1:R47"/>
      <selection pane="topRight" activeCell="R47" sqref="A1:R47"/>
      <selection pane="bottomLeft" activeCell="R47" sqref="A1:R47"/>
      <selection pane="bottomRight" activeCell="L14" sqref="A1:L14"/>
    </sheetView>
  </sheetViews>
  <sheetFormatPr defaultColWidth="9.140625" defaultRowHeight="12.75"/>
  <cols>
    <col min="1" max="1" width="29.8515625" style="7" bestFit="1" customWidth="1"/>
    <col min="2" max="2" width="7.57421875" style="8" hidden="1" customWidth="1"/>
    <col min="3" max="3" width="7.28125" style="3" hidden="1" customWidth="1"/>
    <col min="4" max="4" width="7.28125" style="4" hidden="1" customWidth="1"/>
    <col min="5" max="5" width="11.7109375" style="3" hidden="1" customWidth="1"/>
    <col min="6" max="6" width="7.00390625" style="4" hidden="1" customWidth="1"/>
    <col min="7" max="7" width="14.00390625" style="3" hidden="1" customWidth="1"/>
    <col min="8" max="8" width="7.00390625" style="4" hidden="1" customWidth="1"/>
    <col min="9" max="9" width="8.57421875" style="5" hidden="1" customWidth="1"/>
    <col min="10" max="16384" width="8.8515625" style="7" customWidth="1"/>
  </cols>
  <sheetData>
    <row r="1" spans="1:2" ht="12.75" customHeight="1">
      <c r="A1" s="1" t="s">
        <v>0</v>
      </c>
      <c r="B1" s="2"/>
    </row>
    <row r="2" spans="1:2" ht="13.5" thickBot="1">
      <c r="A2" s="1" t="s">
        <v>596</v>
      </c>
      <c r="B2" s="2"/>
    </row>
    <row r="3" spans="7:12" ht="12.75">
      <c r="G3" s="3" t="s">
        <v>597</v>
      </c>
      <c r="J3" s="135" t="s">
        <v>1</v>
      </c>
      <c r="K3" s="136"/>
      <c r="L3" s="137"/>
    </row>
    <row r="4" spans="3:12" ht="13.5" thickBot="1">
      <c r="C4" s="3" t="s">
        <v>2</v>
      </c>
      <c r="D4" s="4" t="s">
        <v>3</v>
      </c>
      <c r="E4" s="3" t="s">
        <v>4</v>
      </c>
      <c r="F4" s="4" t="s">
        <v>3</v>
      </c>
      <c r="G4" s="3" t="s">
        <v>4</v>
      </c>
      <c r="H4" s="4" t="s">
        <v>3</v>
      </c>
      <c r="I4" s="10" t="s">
        <v>5</v>
      </c>
      <c r="J4" s="138"/>
      <c r="K4" s="139"/>
      <c r="L4" s="140"/>
    </row>
    <row r="5" spans="1:12" ht="12.75">
      <c r="A5" s="11" t="s">
        <v>6</v>
      </c>
      <c r="B5" s="12" t="s">
        <v>7</v>
      </c>
      <c r="C5" s="13" t="s">
        <v>8</v>
      </c>
      <c r="D5" s="4" t="s">
        <v>9</v>
      </c>
      <c r="E5" s="13" t="s">
        <v>10</v>
      </c>
      <c r="F5" s="4" t="s">
        <v>9</v>
      </c>
      <c r="G5" s="13" t="s">
        <v>11</v>
      </c>
      <c r="H5" s="4" t="s">
        <v>9</v>
      </c>
      <c r="I5" s="10" t="s">
        <v>12</v>
      </c>
      <c r="J5" s="141" t="s">
        <v>622</v>
      </c>
      <c r="K5" s="142"/>
      <c r="L5" s="143"/>
    </row>
    <row r="6" spans="1:12" ht="12.75">
      <c r="A6" s="1" t="s">
        <v>435</v>
      </c>
      <c r="B6" s="2"/>
      <c r="I6" s="10"/>
      <c r="J6" s="111"/>
      <c r="K6" s="112"/>
      <c r="L6" s="48"/>
    </row>
    <row r="7" spans="1:12" ht="12.75">
      <c r="A7" s="7" t="s">
        <v>436</v>
      </c>
      <c r="B7" s="8" t="s">
        <v>437</v>
      </c>
      <c r="C7" s="3">
        <f>17+9</f>
        <v>26</v>
      </c>
      <c r="D7" s="4">
        <f>C7/$C$14</f>
        <v>1</v>
      </c>
      <c r="E7" s="3">
        <v>29</v>
      </c>
      <c r="F7" s="4">
        <f>E7/$E$14</f>
        <v>0.6041666666666666</v>
      </c>
      <c r="G7" s="3">
        <v>71</v>
      </c>
      <c r="H7" s="4">
        <f>G7/$G$14</f>
        <v>0.1977715877437326</v>
      </c>
      <c r="I7" s="10">
        <f aca="true" t="shared" si="0" ref="I7:I14">+(D7+F7+H7)/3</f>
        <v>0.6006460848034664</v>
      </c>
      <c r="J7" s="111"/>
      <c r="K7" s="112">
        <f>I7*$K$14</f>
        <v>3095.6592850974926</v>
      </c>
      <c r="L7" s="48"/>
    </row>
    <row r="8" spans="1:12" ht="12.75">
      <c r="A8" s="7" t="s">
        <v>565</v>
      </c>
      <c r="B8" s="8" t="s">
        <v>566</v>
      </c>
      <c r="D8" s="4">
        <f aca="true" t="shared" si="1" ref="D8:D13">C8/$C$14</f>
        <v>0</v>
      </c>
      <c r="F8" s="4">
        <f aca="true" t="shared" si="2" ref="F8:F13">E8/$E$14</f>
        <v>0</v>
      </c>
      <c r="G8" s="3">
        <v>19</v>
      </c>
      <c r="H8" s="4">
        <f aca="true" t="shared" si="3" ref="H8:H13">G8/$G$14</f>
        <v>0.052924791086350974</v>
      </c>
      <c r="I8" s="10">
        <f t="shared" si="0"/>
        <v>0.017641597028783658</v>
      </c>
      <c r="J8" s="111"/>
      <c r="K8" s="112">
        <f aca="true" t="shared" si="4" ref="K8:K13">I8*$K$14</f>
        <v>90.92271643454038</v>
      </c>
      <c r="L8" s="48"/>
    </row>
    <row r="9" spans="1:12" ht="12.75">
      <c r="A9" s="7" t="s">
        <v>83</v>
      </c>
      <c r="B9" s="8" t="s">
        <v>560</v>
      </c>
      <c r="D9" s="4">
        <f t="shared" si="1"/>
        <v>0</v>
      </c>
      <c r="F9" s="4">
        <f t="shared" si="2"/>
        <v>0</v>
      </c>
      <c r="G9" s="3">
        <v>6</v>
      </c>
      <c r="H9" s="4">
        <f t="shared" si="3"/>
        <v>0.016713091922005572</v>
      </c>
      <c r="I9" s="10">
        <f t="shared" si="0"/>
        <v>0.005571030640668524</v>
      </c>
      <c r="J9" s="111"/>
      <c r="K9" s="112">
        <f t="shared" si="4"/>
        <v>28.712436768802228</v>
      </c>
      <c r="L9" s="48"/>
    </row>
    <row r="10" spans="1:12" ht="12.75">
      <c r="A10" s="7" t="s">
        <v>23</v>
      </c>
      <c r="B10" s="8" t="s">
        <v>438</v>
      </c>
      <c r="D10" s="4">
        <f t="shared" si="1"/>
        <v>0</v>
      </c>
      <c r="E10" s="3">
        <v>4</v>
      </c>
      <c r="F10" s="4">
        <f t="shared" si="2"/>
        <v>0.08333333333333333</v>
      </c>
      <c r="G10" s="3">
        <v>95</v>
      </c>
      <c r="H10" s="4">
        <f t="shared" si="3"/>
        <v>0.2646239554317549</v>
      </c>
      <c r="I10" s="10">
        <f t="shared" si="0"/>
        <v>0.11598576292169606</v>
      </c>
      <c r="J10" s="111"/>
      <c r="K10" s="112">
        <f t="shared" si="4"/>
        <v>597.7769821727019</v>
      </c>
      <c r="L10" s="48"/>
    </row>
    <row r="11" spans="1:12" ht="12.75">
      <c r="A11" s="7" t="s">
        <v>144</v>
      </c>
      <c r="B11" s="8" t="s">
        <v>439</v>
      </c>
      <c r="D11" s="4">
        <f t="shared" si="1"/>
        <v>0</v>
      </c>
      <c r="E11" s="3">
        <v>15</v>
      </c>
      <c r="F11" s="4">
        <f t="shared" si="2"/>
        <v>0.3125</v>
      </c>
      <c r="G11" s="3">
        <v>164</v>
      </c>
      <c r="H11" s="4">
        <f t="shared" si="3"/>
        <v>0.4568245125348189</v>
      </c>
      <c r="I11" s="10">
        <f t="shared" si="0"/>
        <v>0.256441504178273</v>
      </c>
      <c r="J11" s="111"/>
      <c r="K11" s="112">
        <f t="shared" si="4"/>
        <v>1321.6693550139275</v>
      </c>
      <c r="L11" s="48"/>
    </row>
    <row r="12" spans="1:12" ht="12.75">
      <c r="A12" s="7" t="s">
        <v>561</v>
      </c>
      <c r="B12" s="8" t="s">
        <v>562</v>
      </c>
      <c r="D12" s="4">
        <f t="shared" si="1"/>
        <v>0</v>
      </c>
      <c r="F12" s="4">
        <f t="shared" si="2"/>
        <v>0</v>
      </c>
      <c r="H12" s="4">
        <f t="shared" si="3"/>
        <v>0</v>
      </c>
      <c r="I12" s="10">
        <f t="shared" si="0"/>
        <v>0</v>
      </c>
      <c r="J12" s="111"/>
      <c r="K12" s="112">
        <f t="shared" si="4"/>
        <v>0</v>
      </c>
      <c r="L12" s="48"/>
    </row>
    <row r="13" spans="1:12" ht="12.75">
      <c r="A13" s="7" t="s">
        <v>440</v>
      </c>
      <c r="B13" s="8" t="s">
        <v>441</v>
      </c>
      <c r="D13" s="4">
        <f t="shared" si="1"/>
        <v>0</v>
      </c>
      <c r="F13" s="4">
        <f t="shared" si="2"/>
        <v>0</v>
      </c>
      <c r="G13" s="3">
        <v>4</v>
      </c>
      <c r="H13" s="4">
        <f t="shared" si="3"/>
        <v>0.011142061281337047</v>
      </c>
      <c r="I13" s="10">
        <f t="shared" si="0"/>
        <v>0.003714020427112349</v>
      </c>
      <c r="J13" s="111"/>
      <c r="K13" s="112">
        <f t="shared" si="4"/>
        <v>19.14162451253482</v>
      </c>
      <c r="L13" s="48"/>
    </row>
    <row r="14" spans="1:12" ht="13.5" thickBot="1">
      <c r="A14" s="14" t="s">
        <v>631</v>
      </c>
      <c r="B14" s="17"/>
      <c r="C14" s="1">
        <f aca="true" t="shared" si="5" ref="C14:H14">SUM(C7:C13)</f>
        <v>26</v>
      </c>
      <c r="D14" s="15">
        <f t="shared" si="5"/>
        <v>1</v>
      </c>
      <c r="E14" s="1">
        <f t="shared" si="5"/>
        <v>48</v>
      </c>
      <c r="F14" s="15">
        <f t="shared" si="5"/>
        <v>1</v>
      </c>
      <c r="G14" s="1">
        <f t="shared" si="5"/>
        <v>359</v>
      </c>
      <c r="H14" s="15">
        <f t="shared" si="5"/>
        <v>1</v>
      </c>
      <c r="I14" s="10">
        <f t="shared" si="0"/>
        <v>1</v>
      </c>
      <c r="J14" s="113"/>
      <c r="K14" s="114">
        <f>'FY12 to FY11 Comparison'!K16:L16</f>
        <v>5153.8823999999995</v>
      </c>
      <c r="L14" s="66"/>
    </row>
    <row r="16" ht="12.75">
      <c r="K16" s="76">
        <f>SUM(K7:K13)</f>
        <v>5153.882399999999</v>
      </c>
    </row>
  </sheetData>
  <mergeCells count="2">
    <mergeCell ref="J3:L4"/>
    <mergeCell ref="J5:L5"/>
  </mergeCells>
  <printOptions/>
  <pageMargins left="0.25" right="0.25" top="0.25" bottom="0.25" header="0.5" footer="0.5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 topLeftCell="A1">
      <pane xSplit="1" ySplit="5" topLeftCell="B6" activePane="bottomRight" state="frozen"/>
      <selection pane="topLeft" activeCell="R47" sqref="A1:R47"/>
      <selection pane="topRight" activeCell="R47" sqref="A1:R47"/>
      <selection pane="bottomLeft" activeCell="R47" sqref="A1:R47"/>
      <selection pane="bottomRight" activeCell="A28" sqref="A28"/>
    </sheetView>
  </sheetViews>
  <sheetFormatPr defaultColWidth="9.140625" defaultRowHeight="12.75"/>
  <cols>
    <col min="1" max="1" width="44.28125" style="7" bestFit="1" customWidth="1"/>
    <col min="2" max="2" width="7.57421875" style="8" hidden="1" customWidth="1"/>
    <col min="3" max="3" width="7.28125" style="3" hidden="1" customWidth="1"/>
    <col min="4" max="4" width="7.00390625" style="4" hidden="1" customWidth="1"/>
    <col min="5" max="5" width="11.7109375" style="3" hidden="1" customWidth="1"/>
    <col min="6" max="6" width="7.00390625" style="4" hidden="1" customWidth="1"/>
    <col min="7" max="7" width="14.00390625" style="3" hidden="1" customWidth="1"/>
    <col min="8" max="8" width="7.00390625" style="4" hidden="1" customWidth="1"/>
    <col min="9" max="9" width="8.57421875" style="5" hidden="1" customWidth="1"/>
    <col min="10" max="16384" width="8.8515625" style="7" customWidth="1"/>
  </cols>
  <sheetData>
    <row r="1" spans="1:2" ht="12.75" customHeight="1">
      <c r="A1" s="1" t="s">
        <v>0</v>
      </c>
      <c r="B1" s="2"/>
    </row>
    <row r="2" spans="1:2" ht="13.5" thickBot="1">
      <c r="A2" s="1" t="s">
        <v>596</v>
      </c>
      <c r="B2" s="2"/>
    </row>
    <row r="3" spans="7:12" ht="12.75">
      <c r="G3" s="3" t="s">
        <v>597</v>
      </c>
      <c r="J3" s="135" t="s">
        <v>1</v>
      </c>
      <c r="K3" s="136"/>
      <c r="L3" s="137"/>
    </row>
    <row r="4" spans="3:12" ht="13.5" thickBot="1">
      <c r="C4" s="3" t="s">
        <v>2</v>
      </c>
      <c r="D4" s="4" t="s">
        <v>3</v>
      </c>
      <c r="E4" s="3" t="s">
        <v>4</v>
      </c>
      <c r="F4" s="4" t="s">
        <v>3</v>
      </c>
      <c r="G4" s="3" t="s">
        <v>4</v>
      </c>
      <c r="H4" s="4" t="s">
        <v>3</v>
      </c>
      <c r="I4" s="10" t="s">
        <v>5</v>
      </c>
      <c r="J4" s="138"/>
      <c r="K4" s="139"/>
      <c r="L4" s="140"/>
    </row>
    <row r="5" spans="1:12" ht="12.75">
      <c r="A5" s="11" t="s">
        <v>6</v>
      </c>
      <c r="B5" s="12" t="s">
        <v>7</v>
      </c>
      <c r="C5" s="13" t="s">
        <v>8</v>
      </c>
      <c r="D5" s="4" t="s">
        <v>9</v>
      </c>
      <c r="E5" s="13" t="s">
        <v>10</v>
      </c>
      <c r="F5" s="4" t="s">
        <v>9</v>
      </c>
      <c r="G5" s="13" t="s">
        <v>11</v>
      </c>
      <c r="H5" s="4" t="s">
        <v>9</v>
      </c>
      <c r="I5" s="10" t="s">
        <v>12</v>
      </c>
      <c r="J5" s="141" t="s">
        <v>622</v>
      </c>
      <c r="K5" s="142"/>
      <c r="L5" s="143"/>
    </row>
    <row r="6" spans="1:12" ht="12.75">
      <c r="A6" s="1" t="s">
        <v>442</v>
      </c>
      <c r="B6" s="2"/>
      <c r="J6" s="111"/>
      <c r="K6" s="112"/>
      <c r="L6" s="48"/>
    </row>
    <row r="7" spans="1:12" ht="12.75">
      <c r="A7" s="7" t="s">
        <v>443</v>
      </c>
      <c r="B7" s="8" t="s">
        <v>444</v>
      </c>
      <c r="C7" s="3">
        <f>2</f>
        <v>2</v>
      </c>
      <c r="D7" s="4">
        <f>C7/$C$24</f>
        <v>0.01818181818181818</v>
      </c>
      <c r="E7" s="3">
        <v>12</v>
      </c>
      <c r="F7" s="4">
        <f>E7/$E$24</f>
        <v>0.1188118811881188</v>
      </c>
      <c r="G7" s="3">
        <v>92</v>
      </c>
      <c r="H7" s="4">
        <f>G7/$G$24</f>
        <v>0.042086001829826164</v>
      </c>
      <c r="I7" s="10">
        <f aca="true" t="shared" si="0" ref="I7:I24">+(D7+F7+H7)/3</f>
        <v>0.059693233733254386</v>
      </c>
      <c r="J7" s="111"/>
      <c r="K7" s="112">
        <f>I7*$K$24</f>
        <v>1311.7935467809746</v>
      </c>
      <c r="L7" s="48"/>
    </row>
    <row r="8" spans="1:12" ht="12.75">
      <c r="A8" s="7" t="s">
        <v>445</v>
      </c>
      <c r="B8" s="8" t="s">
        <v>446</v>
      </c>
      <c r="D8" s="4">
        <f aca="true" t="shared" si="1" ref="D8:D23">C8/$C$24</f>
        <v>0</v>
      </c>
      <c r="F8" s="4">
        <f aca="true" t="shared" si="2" ref="F8:F23">E8/$E$24</f>
        <v>0</v>
      </c>
      <c r="G8" s="3">
        <v>47</v>
      </c>
      <c r="H8" s="4">
        <f aca="true" t="shared" si="3" ref="H8:H23">G8/$G$24</f>
        <v>0.021500457456541628</v>
      </c>
      <c r="I8" s="10">
        <f t="shared" si="0"/>
        <v>0.007166819152180543</v>
      </c>
      <c r="J8" s="111"/>
      <c r="K8" s="112">
        <f aca="true" t="shared" si="4" ref="K8:K23">I8*$K$24</f>
        <v>157.49502124123208</v>
      </c>
      <c r="L8" s="48"/>
    </row>
    <row r="9" spans="1:12" ht="12.75">
      <c r="A9" s="7" t="s">
        <v>447</v>
      </c>
      <c r="B9" s="8" t="s">
        <v>448</v>
      </c>
      <c r="D9" s="4">
        <f t="shared" si="1"/>
        <v>0</v>
      </c>
      <c r="E9" s="3">
        <v>2</v>
      </c>
      <c r="F9" s="4">
        <f t="shared" si="2"/>
        <v>0.019801980198019802</v>
      </c>
      <c r="G9" s="3">
        <v>516</v>
      </c>
      <c r="H9" s="4">
        <f t="shared" si="3"/>
        <v>0.23604757548032937</v>
      </c>
      <c r="I9" s="10">
        <f t="shared" si="0"/>
        <v>0.08528318522611639</v>
      </c>
      <c r="J9" s="111"/>
      <c r="K9" s="112">
        <f t="shared" si="4"/>
        <v>1874.1476216293909</v>
      </c>
      <c r="L9" s="48"/>
    </row>
    <row r="10" spans="1:12" ht="12.75">
      <c r="A10" s="7" t="s">
        <v>449</v>
      </c>
      <c r="B10" s="8" t="s">
        <v>450</v>
      </c>
      <c r="D10" s="4">
        <f t="shared" si="1"/>
        <v>0</v>
      </c>
      <c r="E10" s="3">
        <v>6</v>
      </c>
      <c r="F10" s="4">
        <f t="shared" si="2"/>
        <v>0.0594059405940594</v>
      </c>
      <c r="G10" s="3">
        <v>30</v>
      </c>
      <c r="H10" s="4">
        <f t="shared" si="3"/>
        <v>0.013723696248856358</v>
      </c>
      <c r="I10" s="10">
        <f t="shared" si="0"/>
        <v>0.024376545614305255</v>
      </c>
      <c r="J10" s="111"/>
      <c r="K10" s="112">
        <f t="shared" si="4"/>
        <v>535.6887745862509</v>
      </c>
      <c r="L10" s="48"/>
    </row>
    <row r="11" spans="1:12" ht="12.75">
      <c r="A11" s="7" t="s">
        <v>579</v>
      </c>
      <c r="B11" s="8" t="s">
        <v>580</v>
      </c>
      <c r="D11" s="4">
        <f t="shared" si="1"/>
        <v>0</v>
      </c>
      <c r="F11" s="4">
        <f t="shared" si="2"/>
        <v>0</v>
      </c>
      <c r="G11" s="3">
        <v>10</v>
      </c>
      <c r="H11" s="4">
        <f t="shared" si="3"/>
        <v>0.004574565416285453</v>
      </c>
      <c r="I11" s="10">
        <f t="shared" si="0"/>
        <v>0.0015248551387618177</v>
      </c>
      <c r="J11" s="111"/>
      <c r="K11" s="112">
        <f t="shared" si="4"/>
        <v>33.50957898749619</v>
      </c>
      <c r="L11" s="48"/>
    </row>
    <row r="12" spans="1:12" ht="12.75">
      <c r="A12" s="7" t="s">
        <v>451</v>
      </c>
      <c r="B12" s="8" t="s">
        <v>452</v>
      </c>
      <c r="D12" s="4">
        <f t="shared" si="1"/>
        <v>0</v>
      </c>
      <c r="F12" s="4">
        <f t="shared" si="2"/>
        <v>0</v>
      </c>
      <c r="G12" s="3">
        <v>38</v>
      </c>
      <c r="H12" s="4">
        <f t="shared" si="3"/>
        <v>0.01738334858188472</v>
      </c>
      <c r="I12" s="10">
        <f t="shared" si="0"/>
        <v>0.005794449527294907</v>
      </c>
      <c r="J12" s="111"/>
      <c r="K12" s="112">
        <f t="shared" si="4"/>
        <v>127.33640015248551</v>
      </c>
      <c r="L12" s="48"/>
    </row>
    <row r="13" spans="1:12" ht="12.75">
      <c r="A13" s="7" t="s">
        <v>453</v>
      </c>
      <c r="B13" s="8" t="s">
        <v>454</v>
      </c>
      <c r="D13" s="4">
        <f t="shared" si="1"/>
        <v>0</v>
      </c>
      <c r="F13" s="4">
        <f t="shared" si="2"/>
        <v>0</v>
      </c>
      <c r="G13" s="3">
        <v>25</v>
      </c>
      <c r="H13" s="4">
        <f t="shared" si="3"/>
        <v>0.011436413540713633</v>
      </c>
      <c r="I13" s="10">
        <f t="shared" si="0"/>
        <v>0.0038121378469045445</v>
      </c>
      <c r="J13" s="111"/>
      <c r="K13" s="112">
        <f t="shared" si="4"/>
        <v>83.77394746874049</v>
      </c>
      <c r="L13" s="48"/>
    </row>
    <row r="14" spans="1:12" ht="12.75">
      <c r="A14" s="7" t="s">
        <v>581</v>
      </c>
      <c r="B14" s="8" t="s">
        <v>582</v>
      </c>
      <c r="D14" s="4">
        <f t="shared" si="1"/>
        <v>0</v>
      </c>
      <c r="E14" s="3">
        <v>6</v>
      </c>
      <c r="F14" s="4">
        <f t="shared" si="2"/>
        <v>0.0594059405940594</v>
      </c>
      <c r="G14" s="3">
        <v>26</v>
      </c>
      <c r="H14" s="4">
        <f t="shared" si="3"/>
        <v>0.011893870082342177</v>
      </c>
      <c r="I14" s="10">
        <f t="shared" si="0"/>
        <v>0.023766603558800527</v>
      </c>
      <c r="J14" s="111"/>
      <c r="K14" s="112">
        <f t="shared" si="4"/>
        <v>522.2849429912525</v>
      </c>
      <c r="L14" s="48"/>
    </row>
    <row r="15" spans="1:12" ht="12.75">
      <c r="A15" s="7" t="s">
        <v>455</v>
      </c>
      <c r="B15" s="8" t="s">
        <v>456</v>
      </c>
      <c r="C15" s="3">
        <f>38+62+1+1</f>
        <v>102</v>
      </c>
      <c r="D15" s="4">
        <f t="shared" si="1"/>
        <v>0.9272727272727272</v>
      </c>
      <c r="E15" s="3">
        <v>51</v>
      </c>
      <c r="F15" s="4">
        <f t="shared" si="2"/>
        <v>0.504950495049505</v>
      </c>
      <c r="G15" s="3">
        <v>1164</v>
      </c>
      <c r="H15" s="4">
        <f t="shared" si="3"/>
        <v>0.5324794144556267</v>
      </c>
      <c r="I15" s="10">
        <f t="shared" si="0"/>
        <v>0.654900878925953</v>
      </c>
      <c r="J15" s="111"/>
      <c r="K15" s="112">
        <f t="shared" si="4"/>
        <v>14391.827901219263</v>
      </c>
      <c r="L15" s="48"/>
    </row>
    <row r="16" spans="1:12" ht="12.75">
      <c r="A16" s="7" t="s">
        <v>457</v>
      </c>
      <c r="B16" s="8" t="s">
        <v>458</v>
      </c>
      <c r="D16" s="4">
        <f t="shared" si="1"/>
        <v>0</v>
      </c>
      <c r="E16" s="3">
        <v>2</v>
      </c>
      <c r="F16" s="4">
        <f t="shared" si="2"/>
        <v>0.019801980198019802</v>
      </c>
      <c r="G16" s="3">
        <v>109</v>
      </c>
      <c r="H16" s="4">
        <f t="shared" si="3"/>
        <v>0.049862763037511436</v>
      </c>
      <c r="I16" s="10">
        <f t="shared" si="0"/>
        <v>0.02322158107851041</v>
      </c>
      <c r="J16" s="111"/>
      <c r="K16" s="112">
        <f t="shared" si="4"/>
        <v>510.3077568382959</v>
      </c>
      <c r="L16" s="48"/>
    </row>
    <row r="17" spans="1:12" ht="12.75">
      <c r="A17" s="7" t="s">
        <v>56</v>
      </c>
      <c r="B17" s="8" t="s">
        <v>57</v>
      </c>
      <c r="C17" s="3">
        <f>4+2</f>
        <v>6</v>
      </c>
      <c r="D17" s="4">
        <f t="shared" si="1"/>
        <v>0.05454545454545454</v>
      </c>
      <c r="E17" s="3">
        <f>5</f>
        <v>5</v>
      </c>
      <c r="F17" s="4">
        <f t="shared" si="2"/>
        <v>0.04950495049504951</v>
      </c>
      <c r="G17" s="3">
        <v>58</v>
      </c>
      <c r="H17" s="4">
        <f t="shared" si="3"/>
        <v>0.026532479414455627</v>
      </c>
      <c r="I17" s="10">
        <f t="shared" si="0"/>
        <v>0.04352762815165323</v>
      </c>
      <c r="J17" s="111"/>
      <c r="K17" s="112">
        <f t="shared" si="4"/>
        <v>956.5449573594012</v>
      </c>
      <c r="L17" s="48"/>
    </row>
    <row r="18" spans="1:12" ht="12.75">
      <c r="A18" s="7" t="s">
        <v>618</v>
      </c>
      <c r="B18" s="8" t="s">
        <v>619</v>
      </c>
      <c r="D18" s="4">
        <f t="shared" si="1"/>
        <v>0</v>
      </c>
      <c r="E18" s="3">
        <v>3</v>
      </c>
      <c r="F18" s="4">
        <f t="shared" si="2"/>
        <v>0.0297029702970297</v>
      </c>
      <c r="G18" s="3">
        <v>2</v>
      </c>
      <c r="H18" s="4">
        <f t="shared" si="3"/>
        <v>0.0009149130832570906</v>
      </c>
      <c r="I18" s="10">
        <f t="shared" si="0"/>
        <v>0.010205961126762265</v>
      </c>
      <c r="J18" s="111"/>
      <c r="K18" s="112">
        <f t="shared" si="4"/>
        <v>224.28193460938044</v>
      </c>
      <c r="L18" s="48"/>
    </row>
    <row r="19" spans="1:12" ht="12.75">
      <c r="A19" s="7" t="s">
        <v>620</v>
      </c>
      <c r="B19" s="8" t="s">
        <v>72</v>
      </c>
      <c r="D19" s="4">
        <f t="shared" si="1"/>
        <v>0</v>
      </c>
      <c r="F19" s="4">
        <f t="shared" si="2"/>
        <v>0</v>
      </c>
      <c r="G19" s="3">
        <v>20</v>
      </c>
      <c r="H19" s="4">
        <f t="shared" si="3"/>
        <v>0.009149130832570906</v>
      </c>
      <c r="I19" s="10">
        <f t="shared" si="0"/>
        <v>0.0030497102775236353</v>
      </c>
      <c r="J19" s="111"/>
      <c r="K19" s="112">
        <f t="shared" si="4"/>
        <v>67.01915797499238</v>
      </c>
      <c r="L19" s="48"/>
    </row>
    <row r="20" spans="1:12" ht="12.75">
      <c r="A20" s="7" t="s">
        <v>621</v>
      </c>
      <c r="B20" s="8" t="s">
        <v>79</v>
      </c>
      <c r="D20" s="4">
        <f t="shared" si="1"/>
        <v>0</v>
      </c>
      <c r="F20" s="4">
        <f t="shared" si="2"/>
        <v>0</v>
      </c>
      <c r="G20" s="3">
        <v>5</v>
      </c>
      <c r="H20" s="4">
        <f t="shared" si="3"/>
        <v>0.0022872827081427266</v>
      </c>
      <c r="I20" s="10">
        <f t="shared" si="0"/>
        <v>0.0007624275693809088</v>
      </c>
      <c r="J20" s="111"/>
      <c r="K20" s="112">
        <f t="shared" si="4"/>
        <v>16.754789493748095</v>
      </c>
      <c r="L20" s="48"/>
    </row>
    <row r="21" spans="1:12" ht="12.75">
      <c r="A21" s="7" t="s">
        <v>459</v>
      </c>
      <c r="B21" s="8" t="s">
        <v>460</v>
      </c>
      <c r="D21" s="4">
        <f t="shared" si="1"/>
        <v>0</v>
      </c>
      <c r="E21" s="3">
        <v>12</v>
      </c>
      <c r="F21" s="4">
        <f t="shared" si="2"/>
        <v>0.1188118811881188</v>
      </c>
      <c r="G21" s="3">
        <v>37</v>
      </c>
      <c r="H21" s="4">
        <f t="shared" si="3"/>
        <v>0.016925892040256175</v>
      </c>
      <c r="I21" s="10">
        <f t="shared" si="0"/>
        <v>0.04524592440945833</v>
      </c>
      <c r="J21" s="111"/>
      <c r="K21" s="112">
        <f t="shared" si="4"/>
        <v>994.3055175012606</v>
      </c>
      <c r="L21" s="48"/>
    </row>
    <row r="22" spans="1:12" ht="12.75">
      <c r="A22" s="7" t="s">
        <v>616</v>
      </c>
      <c r="B22" s="8" t="s">
        <v>617</v>
      </c>
      <c r="D22" s="4">
        <f t="shared" si="1"/>
        <v>0</v>
      </c>
      <c r="E22" s="3">
        <v>2</v>
      </c>
      <c r="F22" s="4">
        <f t="shared" si="2"/>
        <v>0.019801980198019802</v>
      </c>
      <c r="H22" s="4">
        <f t="shared" si="3"/>
        <v>0</v>
      </c>
      <c r="I22" s="10">
        <f t="shared" si="0"/>
        <v>0.006600660066006601</v>
      </c>
      <c r="J22" s="111"/>
      <c r="K22" s="112">
        <f t="shared" si="4"/>
        <v>145.05334587458748</v>
      </c>
      <c r="L22" s="48"/>
    </row>
    <row r="23" spans="1:12" ht="12.75">
      <c r="A23" s="7" t="s">
        <v>73</v>
      </c>
      <c r="B23" s="8" t="s">
        <v>74</v>
      </c>
      <c r="D23" s="4">
        <f t="shared" si="1"/>
        <v>0</v>
      </c>
      <c r="F23" s="4">
        <f t="shared" si="2"/>
        <v>0</v>
      </c>
      <c r="G23" s="3">
        <v>7</v>
      </c>
      <c r="H23" s="4">
        <f t="shared" si="3"/>
        <v>0.003202195791399817</v>
      </c>
      <c r="I23" s="10">
        <f t="shared" si="0"/>
        <v>0.0010673985971332723</v>
      </c>
      <c r="J23" s="111"/>
      <c r="K23" s="112">
        <f t="shared" si="4"/>
        <v>23.45670529124733</v>
      </c>
      <c r="L23" s="48"/>
    </row>
    <row r="24" spans="1:12" ht="13.5" thickBot="1">
      <c r="A24" s="21" t="s">
        <v>632</v>
      </c>
      <c r="B24" s="17"/>
      <c r="C24" s="1">
        <f aca="true" t="shared" si="5" ref="C24:H24">SUM(C7:C23)</f>
        <v>110</v>
      </c>
      <c r="D24" s="15">
        <f t="shared" si="5"/>
        <v>1</v>
      </c>
      <c r="E24" s="1">
        <f t="shared" si="5"/>
        <v>101</v>
      </c>
      <c r="F24" s="15">
        <f t="shared" si="5"/>
        <v>1</v>
      </c>
      <c r="G24" s="1">
        <f t="shared" si="5"/>
        <v>2186</v>
      </c>
      <c r="H24" s="15">
        <f t="shared" si="5"/>
        <v>1</v>
      </c>
      <c r="I24" s="10">
        <f t="shared" si="0"/>
        <v>1</v>
      </c>
      <c r="J24" s="113"/>
      <c r="K24" s="114">
        <f>'FY12 to FY11 Comparison'!K18:L18</f>
        <v>21975.5819</v>
      </c>
      <c r="L24" s="66"/>
    </row>
    <row r="25" ht="12.75">
      <c r="A25" s="7" t="s">
        <v>633</v>
      </c>
    </row>
    <row r="26" ht="12.75">
      <c r="K26" s="76">
        <f>SUM(K7:K23)</f>
        <v>21975.581899999997</v>
      </c>
    </row>
  </sheetData>
  <mergeCells count="2">
    <mergeCell ref="J3:L4"/>
    <mergeCell ref="J5:L5"/>
  </mergeCells>
  <printOptions/>
  <pageMargins left="0.25" right="0.25" top="0.25" bottom="0.25" header="0.5" footer="0.5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 topLeftCell="A1">
      <pane xSplit="1" ySplit="5" topLeftCell="B6" activePane="bottomRight" state="frozen"/>
      <selection pane="topLeft" activeCell="R47" sqref="A1:R47"/>
      <selection pane="topRight" activeCell="R47" sqref="A1:R47"/>
      <selection pane="bottomLeft" activeCell="R47" sqref="A1:R47"/>
      <selection pane="bottomRight" activeCell="L26" sqref="A1:L26"/>
    </sheetView>
  </sheetViews>
  <sheetFormatPr defaultColWidth="9.140625" defaultRowHeight="12.75"/>
  <cols>
    <col min="1" max="1" width="41.00390625" style="7" bestFit="1" customWidth="1"/>
    <col min="2" max="2" width="12.28125" style="8" hidden="1" customWidth="1"/>
    <col min="3" max="3" width="7.28125" style="3" hidden="1" customWidth="1"/>
    <col min="4" max="4" width="7.00390625" style="4" hidden="1" customWidth="1"/>
    <col min="5" max="5" width="11.7109375" style="3" hidden="1" customWidth="1"/>
    <col min="6" max="6" width="7.00390625" style="4" hidden="1" customWidth="1"/>
    <col min="7" max="7" width="14.00390625" style="3" hidden="1" customWidth="1"/>
    <col min="8" max="8" width="7.00390625" style="4" hidden="1" customWidth="1"/>
    <col min="9" max="9" width="8.57421875" style="5" hidden="1" customWidth="1"/>
    <col min="10" max="16384" width="8.8515625" style="7" customWidth="1"/>
  </cols>
  <sheetData>
    <row r="1" spans="1:2" ht="12.75" customHeight="1">
      <c r="A1" s="1" t="s">
        <v>0</v>
      </c>
      <c r="B1" s="2"/>
    </row>
    <row r="2" spans="1:2" ht="13.5" thickBot="1">
      <c r="A2" s="1" t="s">
        <v>596</v>
      </c>
      <c r="B2" s="2"/>
    </row>
    <row r="3" spans="7:12" ht="12.75">
      <c r="G3" s="3" t="s">
        <v>597</v>
      </c>
      <c r="J3" s="135" t="s">
        <v>1</v>
      </c>
      <c r="K3" s="136"/>
      <c r="L3" s="137"/>
    </row>
    <row r="4" spans="3:12" ht="13.5" thickBot="1">
      <c r="C4" s="3" t="s">
        <v>2</v>
      </c>
      <c r="D4" s="4" t="s">
        <v>3</v>
      </c>
      <c r="E4" s="3" t="s">
        <v>4</v>
      </c>
      <c r="F4" s="4" t="s">
        <v>3</v>
      </c>
      <c r="G4" s="3" t="s">
        <v>4</v>
      </c>
      <c r="H4" s="4" t="s">
        <v>3</v>
      </c>
      <c r="I4" s="10" t="s">
        <v>5</v>
      </c>
      <c r="J4" s="138"/>
      <c r="K4" s="139"/>
      <c r="L4" s="140"/>
    </row>
    <row r="5" spans="1:12" ht="12.75">
      <c r="A5" s="11" t="s">
        <v>6</v>
      </c>
      <c r="B5" s="12" t="s">
        <v>7</v>
      </c>
      <c r="C5" s="13" t="s">
        <v>8</v>
      </c>
      <c r="D5" s="4" t="s">
        <v>9</v>
      </c>
      <c r="E5" s="13" t="s">
        <v>10</v>
      </c>
      <c r="F5" s="4" t="s">
        <v>9</v>
      </c>
      <c r="G5" s="13" t="s">
        <v>11</v>
      </c>
      <c r="H5" s="4" t="s">
        <v>9</v>
      </c>
      <c r="I5" s="10" t="s">
        <v>12</v>
      </c>
      <c r="J5" s="141" t="s">
        <v>622</v>
      </c>
      <c r="K5" s="142"/>
      <c r="L5" s="143"/>
    </row>
    <row r="6" spans="1:12" ht="12.75">
      <c r="A6" s="1" t="s">
        <v>461</v>
      </c>
      <c r="B6" s="2"/>
      <c r="J6" s="111"/>
      <c r="K6" s="112"/>
      <c r="L6" s="48"/>
    </row>
    <row r="7" spans="1:12" ht="12.75">
      <c r="A7" s="7" t="s">
        <v>461</v>
      </c>
      <c r="B7" s="8" t="s">
        <v>462</v>
      </c>
      <c r="C7" s="3">
        <f>1644+1113+1+1+1+1+1</f>
        <v>2762</v>
      </c>
      <c r="D7" s="4">
        <f>C7/$C$26</f>
        <v>0.6369926199261993</v>
      </c>
      <c r="E7" s="3">
        <f>12+5+10+8+7+3</f>
        <v>45</v>
      </c>
      <c r="F7" s="4">
        <f>E7/$E$26</f>
        <v>0.036348949919224556</v>
      </c>
      <c r="G7" s="3">
        <f>77+9</f>
        <v>86</v>
      </c>
      <c r="H7" s="4">
        <f>G7/$G$26</f>
        <v>0.015119549929676512</v>
      </c>
      <c r="I7" s="10">
        <f aca="true" t="shared" si="0" ref="I7:I26">+(D7+F7+H7)/3</f>
        <v>0.22948703992503341</v>
      </c>
      <c r="J7" s="111"/>
      <c r="K7" s="112">
        <f>I7*$K$26</f>
        <v>39671.37995661126</v>
      </c>
      <c r="L7" s="48"/>
    </row>
    <row r="8" spans="1:12" ht="12.75">
      <c r="A8" s="7" t="s">
        <v>463</v>
      </c>
      <c r="B8" s="8" t="s">
        <v>464</v>
      </c>
      <c r="D8" s="4">
        <f aca="true" t="shared" si="1" ref="D8:D25">C8/$C$26</f>
        <v>0</v>
      </c>
      <c r="E8" s="3">
        <f>5+10+3+7+4+6+5+10+10</f>
        <v>60</v>
      </c>
      <c r="F8" s="4">
        <f aca="true" t="shared" si="2" ref="F8:F25">E8/$E$26</f>
        <v>0.048465266558966075</v>
      </c>
      <c r="G8" s="3">
        <v>143</v>
      </c>
      <c r="H8" s="4">
        <f aca="true" t="shared" si="3" ref="H8:H25">G8/$G$26</f>
        <v>0.025140646976090014</v>
      </c>
      <c r="I8" s="10">
        <f t="shared" si="0"/>
        <v>0.024535304511685365</v>
      </c>
      <c r="J8" s="111"/>
      <c r="K8" s="112">
        <f aca="true" t="shared" si="4" ref="K8:K25">I8*$K$26</f>
        <v>4241.413318818321</v>
      </c>
      <c r="L8" s="48"/>
    </row>
    <row r="9" spans="1:12" ht="12.75">
      <c r="A9" s="7" t="s">
        <v>465</v>
      </c>
      <c r="B9" s="8" t="s">
        <v>466</v>
      </c>
      <c r="C9" s="3">
        <f>264+199</f>
        <v>463</v>
      </c>
      <c r="D9" s="4">
        <f t="shared" si="1"/>
        <v>0.10678044280442804</v>
      </c>
      <c r="E9" s="3">
        <v>28</v>
      </c>
      <c r="F9" s="4">
        <f t="shared" si="2"/>
        <v>0.022617124394184167</v>
      </c>
      <c r="G9" s="3">
        <v>68</v>
      </c>
      <c r="H9" s="4">
        <f t="shared" si="3"/>
        <v>0.011954992967651195</v>
      </c>
      <c r="I9" s="10">
        <f t="shared" si="0"/>
        <v>0.047117520055421136</v>
      </c>
      <c r="J9" s="111"/>
      <c r="K9" s="112">
        <f t="shared" si="4"/>
        <v>8145.196527623</v>
      </c>
      <c r="L9" s="48"/>
    </row>
    <row r="10" spans="1:12" ht="12.75">
      <c r="A10" s="7" t="s">
        <v>467</v>
      </c>
      <c r="B10" s="8" t="s">
        <v>468</v>
      </c>
      <c r="D10" s="4">
        <f t="shared" si="1"/>
        <v>0</v>
      </c>
      <c r="E10" s="3">
        <v>64</v>
      </c>
      <c r="F10" s="4">
        <f t="shared" si="2"/>
        <v>0.051696284329563816</v>
      </c>
      <c r="G10" s="3">
        <v>71</v>
      </c>
      <c r="H10" s="4">
        <f t="shared" si="3"/>
        <v>0.012482419127988748</v>
      </c>
      <c r="I10" s="10">
        <f t="shared" si="0"/>
        <v>0.021392901152517522</v>
      </c>
      <c r="J10" s="111"/>
      <c r="K10" s="112">
        <f t="shared" si="4"/>
        <v>3698.1866613164298</v>
      </c>
      <c r="L10" s="48"/>
    </row>
    <row r="11" spans="1:12" ht="12.75">
      <c r="A11" s="7" t="s">
        <v>469</v>
      </c>
      <c r="B11" s="8" t="s">
        <v>470</v>
      </c>
      <c r="D11" s="4">
        <f t="shared" si="1"/>
        <v>0</v>
      </c>
      <c r="E11" s="3">
        <f>8+8+5+8+8+15+10+62+29+7+3+11+7+10+5+27+7+2+5+4+9+6+5+24+9+89+12+2+8+2+2+1+1+1+1+3+1+3+2+1+5+3+1+1+5+1+15+3+60+12+8+5+16+3+10+1+4+1+1+11+2+3+1+2+2+1+1+2+1+1+1+1+1</f>
        <v>608</v>
      </c>
      <c r="F11" s="4">
        <f t="shared" si="2"/>
        <v>0.4911147011308562</v>
      </c>
      <c r="G11" s="3">
        <v>2618</v>
      </c>
      <c r="H11" s="4">
        <f t="shared" si="3"/>
        <v>0.46026722925457103</v>
      </c>
      <c r="I11" s="10">
        <f t="shared" si="0"/>
        <v>0.3171273101284757</v>
      </c>
      <c r="J11" s="111"/>
      <c r="K11" s="112">
        <f t="shared" si="4"/>
        <v>54821.73642064777</v>
      </c>
      <c r="L11" s="48"/>
    </row>
    <row r="12" spans="1:12" ht="12.75">
      <c r="A12" s="7" t="s">
        <v>471</v>
      </c>
      <c r="B12" s="8" t="s">
        <v>472</v>
      </c>
      <c r="C12" s="3">
        <f>1</f>
        <v>1</v>
      </c>
      <c r="D12" s="4">
        <f t="shared" si="1"/>
        <v>0.00023062730627306272</v>
      </c>
      <c r="F12" s="4">
        <f t="shared" si="2"/>
        <v>0</v>
      </c>
      <c r="H12" s="4">
        <f t="shared" si="3"/>
        <v>0</v>
      </c>
      <c r="I12" s="10">
        <f t="shared" si="0"/>
        <v>7.687576875768758E-05</v>
      </c>
      <c r="J12" s="111"/>
      <c r="K12" s="112">
        <f t="shared" si="4"/>
        <v>13.289499192804428</v>
      </c>
      <c r="L12" s="48"/>
    </row>
    <row r="13" spans="1:12" ht="12.75">
      <c r="A13" s="7" t="s">
        <v>473</v>
      </c>
      <c r="B13" s="8" t="s">
        <v>598</v>
      </c>
      <c r="C13" s="3">
        <f>1+2+5</f>
        <v>8</v>
      </c>
      <c r="D13" s="4">
        <f t="shared" si="1"/>
        <v>0.0018450184501845018</v>
      </c>
      <c r="E13" s="3">
        <f>7+11+9+1+11+1+12+1+12+1+12+11+1</f>
        <v>90</v>
      </c>
      <c r="F13" s="4">
        <f t="shared" si="2"/>
        <v>0.07269789983844911</v>
      </c>
      <c r="G13" s="3">
        <v>119</v>
      </c>
      <c r="H13" s="4">
        <f t="shared" si="3"/>
        <v>0.02092123769338959</v>
      </c>
      <c r="I13" s="10">
        <f t="shared" si="0"/>
        <v>0.03182138532734107</v>
      </c>
      <c r="J13" s="111"/>
      <c r="K13" s="112">
        <f t="shared" si="4"/>
        <v>5500.956692278004</v>
      </c>
      <c r="L13" s="48"/>
    </row>
    <row r="14" spans="1:12" ht="12.75">
      <c r="A14" s="7" t="s">
        <v>474</v>
      </c>
      <c r="B14" s="8" t="s">
        <v>475</v>
      </c>
      <c r="C14" s="3">
        <f>110+10</f>
        <v>120</v>
      </c>
      <c r="D14" s="4">
        <f t="shared" si="1"/>
        <v>0.027675276752767528</v>
      </c>
      <c r="E14" s="3">
        <v>35</v>
      </c>
      <c r="F14" s="4">
        <f t="shared" si="2"/>
        <v>0.02827140549273021</v>
      </c>
      <c r="G14" s="3">
        <v>706</v>
      </c>
      <c r="H14" s="4">
        <f t="shared" si="3"/>
        <v>0.12412095639943742</v>
      </c>
      <c r="I14" s="10">
        <f t="shared" si="0"/>
        <v>0.060022546214978385</v>
      </c>
      <c r="J14" s="111"/>
      <c r="K14" s="112">
        <f t="shared" si="4"/>
        <v>10376.085889798074</v>
      </c>
      <c r="L14" s="48"/>
    </row>
    <row r="15" spans="1:12" ht="12.75">
      <c r="A15" s="7" t="s">
        <v>476</v>
      </c>
      <c r="B15" s="8" t="s">
        <v>477</v>
      </c>
      <c r="C15" s="3">
        <f>307+61</f>
        <v>368</v>
      </c>
      <c r="D15" s="4">
        <f t="shared" si="1"/>
        <v>0.08487084870848709</v>
      </c>
      <c r="F15" s="4">
        <f t="shared" si="2"/>
        <v>0</v>
      </c>
      <c r="G15" s="3">
        <v>312</v>
      </c>
      <c r="H15" s="4">
        <f t="shared" si="3"/>
        <v>0.05485232067510549</v>
      </c>
      <c r="I15" s="10">
        <f t="shared" si="0"/>
        <v>0.04657438979453086</v>
      </c>
      <c r="J15" s="111"/>
      <c r="K15" s="112">
        <f t="shared" si="4"/>
        <v>8051.3057050617335</v>
      </c>
      <c r="L15" s="48"/>
    </row>
    <row r="16" spans="1:12" ht="12.75">
      <c r="A16" s="7" t="s">
        <v>478</v>
      </c>
      <c r="B16" s="8" t="s">
        <v>479</v>
      </c>
      <c r="C16" s="3">
        <f>49+29</f>
        <v>78</v>
      </c>
      <c r="D16" s="4">
        <f t="shared" si="1"/>
        <v>0.017988929889298892</v>
      </c>
      <c r="E16" s="3">
        <v>102</v>
      </c>
      <c r="F16" s="4">
        <f t="shared" si="2"/>
        <v>0.08239095315024232</v>
      </c>
      <c r="G16" s="3">
        <v>374</v>
      </c>
      <c r="H16" s="4">
        <f t="shared" si="3"/>
        <v>0.06575246132208158</v>
      </c>
      <c r="I16" s="10">
        <f t="shared" si="0"/>
        <v>0.05537744812054093</v>
      </c>
      <c r="J16" s="111"/>
      <c r="K16" s="112">
        <f t="shared" si="4"/>
        <v>9573.08868568425</v>
      </c>
      <c r="L16" s="48"/>
    </row>
    <row r="17" spans="1:12" ht="12.75">
      <c r="A17" s="7" t="s">
        <v>480</v>
      </c>
      <c r="B17" s="8" t="s">
        <v>481</v>
      </c>
      <c r="C17" s="3">
        <f>2+18</f>
        <v>20</v>
      </c>
      <c r="D17" s="4">
        <f t="shared" si="1"/>
        <v>0.004612546125461255</v>
      </c>
      <c r="E17" s="3">
        <f>8+10+10+6+11+10+6+7+9+7+8+9+6+10+5+6+9</f>
        <v>137</v>
      </c>
      <c r="F17" s="4">
        <f t="shared" si="2"/>
        <v>0.11066235864297254</v>
      </c>
      <c r="G17" s="3">
        <v>829</v>
      </c>
      <c r="H17" s="4">
        <f t="shared" si="3"/>
        <v>0.14574542897327708</v>
      </c>
      <c r="I17" s="10">
        <f t="shared" si="0"/>
        <v>0.08700677791390361</v>
      </c>
      <c r="J17" s="111"/>
      <c r="K17" s="112">
        <f t="shared" si="4"/>
        <v>15040.844775158212</v>
      </c>
      <c r="L17" s="48"/>
    </row>
    <row r="18" spans="1:12" ht="12.75">
      <c r="A18" s="7" t="s">
        <v>482</v>
      </c>
      <c r="B18" s="8" t="s">
        <v>483</v>
      </c>
      <c r="D18" s="4">
        <f t="shared" si="1"/>
        <v>0</v>
      </c>
      <c r="F18" s="4">
        <f t="shared" si="2"/>
        <v>0</v>
      </c>
      <c r="G18" s="3">
        <v>32</v>
      </c>
      <c r="H18" s="4">
        <f t="shared" si="3"/>
        <v>0.005625879043600563</v>
      </c>
      <c r="I18" s="10">
        <f t="shared" si="0"/>
        <v>0.001875293014533521</v>
      </c>
      <c r="J18" s="111"/>
      <c r="K18" s="112">
        <f t="shared" si="4"/>
        <v>324.1815386779184</v>
      </c>
      <c r="L18" s="48"/>
    </row>
    <row r="19" spans="1:12" ht="12.75">
      <c r="A19" s="7" t="s">
        <v>484</v>
      </c>
      <c r="B19" s="8" t="s">
        <v>485</v>
      </c>
      <c r="C19" s="3">
        <f>19+18</f>
        <v>37</v>
      </c>
      <c r="D19" s="4">
        <f t="shared" si="1"/>
        <v>0.008533210332103322</v>
      </c>
      <c r="F19" s="4">
        <f t="shared" si="2"/>
        <v>0</v>
      </c>
      <c r="H19" s="4">
        <f t="shared" si="3"/>
        <v>0</v>
      </c>
      <c r="I19" s="10">
        <f t="shared" si="0"/>
        <v>0.0028444034440344404</v>
      </c>
      <c r="J19" s="111"/>
      <c r="K19" s="112">
        <f t="shared" si="4"/>
        <v>491.71147013376384</v>
      </c>
      <c r="L19" s="48"/>
    </row>
    <row r="20" spans="1:12" ht="12.75">
      <c r="A20" s="7" t="s">
        <v>486</v>
      </c>
      <c r="B20" s="8" t="s">
        <v>487</v>
      </c>
      <c r="C20" s="3">
        <f>64+2</f>
        <v>66</v>
      </c>
      <c r="D20" s="4">
        <f t="shared" si="1"/>
        <v>0.01522140221402214</v>
      </c>
      <c r="E20" s="3">
        <f>24+11+11+10+7</f>
        <v>63</v>
      </c>
      <c r="F20" s="4">
        <f t="shared" si="2"/>
        <v>0.05088852988691438</v>
      </c>
      <c r="G20" s="3">
        <f>137+9</f>
        <v>146</v>
      </c>
      <c r="H20" s="4">
        <f t="shared" si="3"/>
        <v>0.025668073136427567</v>
      </c>
      <c r="I20" s="10">
        <f t="shared" si="0"/>
        <v>0.030592668412454695</v>
      </c>
      <c r="J20" s="111"/>
      <c r="K20" s="112">
        <f t="shared" si="4"/>
        <v>5288.548638187037</v>
      </c>
      <c r="L20" s="48"/>
    </row>
    <row r="21" spans="1:12" ht="12.75">
      <c r="A21" s="7" t="s">
        <v>488</v>
      </c>
      <c r="B21" s="8" t="s">
        <v>489</v>
      </c>
      <c r="C21" s="3">
        <f>26</f>
        <v>26</v>
      </c>
      <c r="D21" s="4">
        <f t="shared" si="1"/>
        <v>0.005996309963099631</v>
      </c>
      <c r="F21" s="4">
        <f t="shared" si="2"/>
        <v>0</v>
      </c>
      <c r="G21" s="3">
        <v>26</v>
      </c>
      <c r="H21" s="4">
        <f t="shared" si="3"/>
        <v>0.004571026722925457</v>
      </c>
      <c r="I21" s="10">
        <f t="shared" si="0"/>
        <v>0.0035224455620083625</v>
      </c>
      <c r="J21" s="111"/>
      <c r="K21" s="112">
        <f t="shared" si="4"/>
        <v>608.9244791887238</v>
      </c>
      <c r="L21" s="48"/>
    </row>
    <row r="22" spans="1:12" ht="12.75">
      <c r="A22" s="7" t="s">
        <v>490</v>
      </c>
      <c r="B22" s="8" t="s">
        <v>491</v>
      </c>
      <c r="D22" s="4">
        <f t="shared" si="1"/>
        <v>0</v>
      </c>
      <c r="E22" s="3">
        <v>4</v>
      </c>
      <c r="F22" s="4">
        <f t="shared" si="2"/>
        <v>0.0032310177705977385</v>
      </c>
      <c r="G22" s="3">
        <v>28</v>
      </c>
      <c r="H22" s="4">
        <f t="shared" si="3"/>
        <v>0.004922644163150493</v>
      </c>
      <c r="I22" s="10">
        <f t="shared" si="0"/>
        <v>0.0027178873112494104</v>
      </c>
      <c r="J22" s="111"/>
      <c r="K22" s="112">
        <f t="shared" si="4"/>
        <v>469.8406508666035</v>
      </c>
      <c r="L22" s="48"/>
    </row>
    <row r="23" spans="1:12" ht="12.75">
      <c r="A23" s="7" t="s">
        <v>492</v>
      </c>
      <c r="B23" s="8" t="s">
        <v>493</v>
      </c>
      <c r="C23" s="3">
        <f>61+47</f>
        <v>108</v>
      </c>
      <c r="D23" s="4">
        <f t="shared" si="1"/>
        <v>0.024907749077490774</v>
      </c>
      <c r="F23" s="4">
        <f t="shared" si="2"/>
        <v>0</v>
      </c>
      <c r="H23" s="4">
        <f t="shared" si="3"/>
        <v>0</v>
      </c>
      <c r="I23" s="10">
        <f t="shared" si="0"/>
        <v>0.008302583025830259</v>
      </c>
      <c r="J23" s="111"/>
      <c r="K23" s="112">
        <f t="shared" si="4"/>
        <v>1435.2659128228781</v>
      </c>
      <c r="L23" s="48"/>
    </row>
    <row r="24" spans="1:12" ht="12.75">
      <c r="A24" s="7" t="s">
        <v>494</v>
      </c>
      <c r="B24" s="8" t="s">
        <v>495</v>
      </c>
      <c r="C24" s="3">
        <f>64+48</f>
        <v>112</v>
      </c>
      <c r="D24" s="4">
        <f t="shared" si="1"/>
        <v>0.025830258302583026</v>
      </c>
      <c r="F24" s="4">
        <f t="shared" si="2"/>
        <v>0</v>
      </c>
      <c r="H24" s="4">
        <f t="shared" si="3"/>
        <v>0</v>
      </c>
      <c r="I24" s="10">
        <f t="shared" si="0"/>
        <v>0.008610086100861008</v>
      </c>
      <c r="J24" s="111"/>
      <c r="K24" s="112">
        <f t="shared" si="4"/>
        <v>1488.4239095940957</v>
      </c>
      <c r="L24" s="48"/>
    </row>
    <row r="25" spans="1:12" ht="12.75">
      <c r="A25" s="7" t="s">
        <v>496</v>
      </c>
      <c r="B25" s="8" t="s">
        <v>497</v>
      </c>
      <c r="C25" s="3">
        <f>98+69</f>
        <v>167</v>
      </c>
      <c r="D25" s="4">
        <f t="shared" si="1"/>
        <v>0.038514760147601475</v>
      </c>
      <c r="E25" s="3">
        <v>2</v>
      </c>
      <c r="F25" s="4">
        <f t="shared" si="2"/>
        <v>0.0016155088852988692</v>
      </c>
      <c r="G25" s="3">
        <v>130</v>
      </c>
      <c r="H25" s="4">
        <f t="shared" si="3"/>
        <v>0.022855133614627286</v>
      </c>
      <c r="I25" s="10">
        <f t="shared" si="0"/>
        <v>0.020995134215842547</v>
      </c>
      <c r="J25" s="111"/>
      <c r="K25" s="112">
        <f t="shared" si="4"/>
        <v>3629.424768339096</v>
      </c>
      <c r="L25" s="48"/>
    </row>
    <row r="26" spans="1:12" ht="13.5" thickBot="1">
      <c r="A26" s="14" t="s">
        <v>498</v>
      </c>
      <c r="B26" s="17"/>
      <c r="C26" s="1">
        <f aca="true" t="shared" si="5" ref="C26:H26">SUM(C7:C25)</f>
        <v>4336</v>
      </c>
      <c r="D26" s="15">
        <f t="shared" si="5"/>
        <v>0.9999999999999999</v>
      </c>
      <c r="E26" s="1">
        <f t="shared" si="5"/>
        <v>1238</v>
      </c>
      <c r="F26" s="15">
        <f t="shared" si="5"/>
        <v>1</v>
      </c>
      <c r="G26" s="1">
        <f t="shared" si="5"/>
        <v>5688</v>
      </c>
      <c r="H26" s="15">
        <f t="shared" si="5"/>
        <v>1</v>
      </c>
      <c r="I26" s="10">
        <f t="shared" si="0"/>
        <v>1</v>
      </c>
      <c r="J26" s="113"/>
      <c r="K26" s="114">
        <f>'FY12 to FY11 Comparison'!K20:L20</f>
        <v>172869.8055</v>
      </c>
      <c r="L26" s="66"/>
    </row>
    <row r="28" ht="12.75">
      <c r="K28" s="76">
        <f>SUM(K7:K25)</f>
        <v>172869.8055</v>
      </c>
    </row>
  </sheetData>
  <mergeCells count="2">
    <mergeCell ref="J3:L4"/>
    <mergeCell ref="J5:L5"/>
  </mergeCells>
  <printOptions/>
  <pageMargins left="0.25" right="0.25" top="0.25" bottom="0.25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Multnomah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wallisd</dc:creator>
  <cp:keywords/>
  <dc:description/>
  <cp:lastModifiedBy>Sanne Stienstra</cp:lastModifiedBy>
  <cp:lastPrinted>2010-12-17T01:52:24Z</cp:lastPrinted>
  <dcterms:created xsi:type="dcterms:W3CDTF">2008-10-09T21:31:58Z</dcterms:created>
  <dcterms:modified xsi:type="dcterms:W3CDTF">2011-01-07T18:03:53Z</dcterms:modified>
  <cp:category/>
  <cp:version/>
  <cp:contentType/>
  <cp:contentStatus/>
</cp:coreProperties>
</file>