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2120" windowHeight="8115" tabRatio="927" activeTab="2"/>
  </bookViews>
  <sheets>
    <sheet name="FY09-FY08 Comparison" sheetId="1" r:id="rId1"/>
    <sheet name="DCM" sheetId="2" r:id="rId2"/>
    <sheet name="DCS" sheetId="3" r:id="rId3"/>
    <sheet name="DCJ" sheetId="4" r:id="rId4"/>
    <sheet name="DCHS" sheetId="5" r:id="rId5"/>
    <sheet name="DOH" sheetId="6" r:id="rId6"/>
    <sheet name="Library" sheetId="7" r:id="rId7"/>
    <sheet name="Non-Dept" sheetId="8" r:id="rId8"/>
    <sheet name="DA" sheetId="9" r:id="rId9"/>
    <sheet name="MCSO" sheetId="10" r:id="rId10"/>
  </sheets>
  <definedNames>
    <definedName name="_xlnm.Print_Area" localSheetId="8">'DA'!$A$1:$J$27</definedName>
    <definedName name="_xlnm.Print_Area" localSheetId="4">'DCHS'!$A$1:$J$57</definedName>
    <definedName name="_xlnm.Print_Area" localSheetId="3">'DCJ'!$A$1:$J$48</definedName>
    <definedName name="_xlnm.Print_Area" localSheetId="1">'DCM'!$A$1:$J$45</definedName>
    <definedName name="_xlnm.Print_Area" localSheetId="2">'DCS'!$A$1:$J$20</definedName>
    <definedName name="_xlnm.Print_Area" localSheetId="5">'DOH'!$A$1:$J$96</definedName>
    <definedName name="_xlnm.Print_Area" localSheetId="0">'FY09-FY08 Comparison'!$A$1:$R$26</definedName>
    <definedName name="_xlnm.Print_Area" localSheetId="6">'Library'!$A$1:$J$13</definedName>
    <definedName name="_xlnm.Print_Area" localSheetId="9">'MCSO'!$A$1:$J$37</definedName>
    <definedName name="_xlnm.Print_Area" localSheetId="7">'Non-Dept'!$A$1:$J$17</definedName>
    <definedName name="_xlnm.Print_Titles" localSheetId="5">'DOH'!$1:$5</definedName>
  </definedNames>
  <calcPr fullCalcOnLoad="1"/>
</workbook>
</file>

<file path=xl/comments1.xml><?xml version="1.0" encoding="utf-8"?>
<comments xmlns="http://schemas.openxmlformats.org/spreadsheetml/2006/main">
  <authors>
    <author>Aim?e Ortiz</author>
  </authors>
  <commentList>
    <comment ref="K5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Allocation equals total exp including dist less charges for services &amp; sales to the public and any other rev (exp BWC).  </t>
        </r>
      </text>
    </comment>
  </commentList>
</comments>
</file>

<file path=xl/sharedStrings.xml><?xml version="1.0" encoding="utf-8"?>
<sst xmlns="http://schemas.openxmlformats.org/spreadsheetml/2006/main" count="566" uniqueCount="337">
  <si>
    <t>Records Center Activities</t>
  </si>
  <si>
    <t>Agency</t>
  </si>
  <si>
    <t>Record</t>
  </si>
  <si>
    <t>Actions</t>
  </si>
  <si>
    <t>Accounts Payable</t>
  </si>
  <si>
    <t>Director's Office</t>
  </si>
  <si>
    <t>Department of Community Justice</t>
  </si>
  <si>
    <t>Administration</t>
  </si>
  <si>
    <t>Mid-Area Aging &amp; Disability Services Office</t>
  </si>
  <si>
    <t>Department of County Human Services</t>
  </si>
  <si>
    <t>Behavioral Health</t>
  </si>
  <si>
    <t>Human Resources - Health Promotion/Benefits</t>
  </si>
  <si>
    <t>Non-Departmental</t>
  </si>
  <si>
    <t>Clerk of the Board</t>
  </si>
  <si>
    <t>Department of Health</t>
  </si>
  <si>
    <t>Binsmead Clinic</t>
  </si>
  <si>
    <t>Brentwood-Darlington Community Clinic</t>
  </si>
  <si>
    <t>County Attorney</t>
  </si>
  <si>
    <t>Children's Assessment Service</t>
  </si>
  <si>
    <t>Case Bank</t>
  </si>
  <si>
    <t>Addiction Services</t>
  </si>
  <si>
    <t>Central Probation &amp; Parole</t>
  </si>
  <si>
    <t>Cleveland SBHC</t>
  </si>
  <si>
    <t>District Attorney - Medical Examiner</t>
  </si>
  <si>
    <t>Central Procurement &amp; Contract Administration</t>
  </si>
  <si>
    <t>MCSO - Records Unit</t>
  </si>
  <si>
    <t>Corrections Health</t>
  </si>
  <si>
    <t>District Attorney</t>
  </si>
  <si>
    <t>District Attorney - Unit D</t>
  </si>
  <si>
    <t>Juvenile Justice Central Records</t>
  </si>
  <si>
    <t>Business Services - Finance</t>
  </si>
  <si>
    <t>Business Services - Contracts</t>
  </si>
  <si>
    <t>Business Services - Human Resources</t>
  </si>
  <si>
    <t>Human Resources</t>
  </si>
  <si>
    <t>FREDS Administration</t>
  </si>
  <si>
    <t>Domestic Violence</t>
  </si>
  <si>
    <t>Department of Library Services</t>
  </si>
  <si>
    <t>Administrative Services</t>
  </si>
  <si>
    <t>Accounts Payable, Procurement &amp; Contracting</t>
  </si>
  <si>
    <t>Day Reporting Center</t>
  </si>
  <si>
    <t>District Attorney - Domestic Violence Unit</t>
  </si>
  <si>
    <t>East Disability Services Office</t>
  </si>
  <si>
    <t>East Aging Services Office</t>
  </si>
  <si>
    <t>East County Dental Clinic</t>
  </si>
  <si>
    <t>East County Field Office</t>
  </si>
  <si>
    <t>East County WIC</t>
  </si>
  <si>
    <t>East County Health Clinic</t>
  </si>
  <si>
    <t>Human Resources - Administration</t>
  </si>
  <si>
    <t>Facilities &amp; Property Management</t>
  </si>
  <si>
    <t>Family Court Services</t>
  </si>
  <si>
    <t>George Middle SBHC</t>
  </si>
  <si>
    <t>General Ledger</t>
  </si>
  <si>
    <t>Grant SBHC</t>
  </si>
  <si>
    <t>Gresham Probation &amp; Parole</t>
  </si>
  <si>
    <t>District Attorney - Child Support Enforcement</t>
  </si>
  <si>
    <t>HIV Health Services Center</t>
  </si>
  <si>
    <t>Human Resources - County</t>
  </si>
  <si>
    <t>Interchange</t>
  </si>
  <si>
    <t>MCSO - Inverness Jail</t>
  </si>
  <si>
    <t>MCSO - Investigations</t>
  </si>
  <si>
    <t>District Attorney - Intake</t>
  </si>
  <si>
    <t>Jefferson SBHC</t>
  </si>
  <si>
    <t>Madison SBHC</t>
  </si>
  <si>
    <t>La Clinica de Buena Salud</t>
  </si>
  <si>
    <t>Human Resources - Labor Relations</t>
  </si>
  <si>
    <t>Land Use Planning</t>
  </si>
  <si>
    <t>Lane Middle SBHC</t>
  </si>
  <si>
    <t>Lead Poisoning Prevention Program</t>
  </si>
  <si>
    <t>Lincoln Park SBHC</t>
  </si>
  <si>
    <t>DUII Supervision</t>
  </si>
  <si>
    <t>Marshall SBHC</t>
  </si>
  <si>
    <t>MCSO - Classification</t>
  </si>
  <si>
    <t>Mid County Dental Clinic</t>
  </si>
  <si>
    <t>Mid County Field Office</t>
  </si>
  <si>
    <t>Mid County WIC</t>
  </si>
  <si>
    <t>Mid County Health Clinic</t>
  </si>
  <si>
    <t>MCSO - Civil Process Unit</t>
  </si>
  <si>
    <t>MCSO - Fiscal</t>
  </si>
  <si>
    <t>District Attorney - Child Abuse Unit</t>
  </si>
  <si>
    <t>Mid County Probation &amp; Parole</t>
  </si>
  <si>
    <t>Northeast Probation &amp; Parole</t>
  </si>
  <si>
    <t>Peninsula Probation &amp; Parole</t>
  </si>
  <si>
    <t>West Probation &amp; Parole</t>
  </si>
  <si>
    <t>North Disability Services Office</t>
  </si>
  <si>
    <t>Northeast Dental Clinic</t>
  </si>
  <si>
    <t>Northeast Field Office</t>
  </si>
  <si>
    <t>Northeast WIC</t>
  </si>
  <si>
    <t>Northeast Aging Services Office</t>
  </si>
  <si>
    <t>Northeast Health Clinic</t>
  </si>
  <si>
    <t>North Portland Health Clinic</t>
  </si>
  <si>
    <t>Nursing Facilities Office</t>
  </si>
  <si>
    <t>Occupational Health</t>
  </si>
  <si>
    <t>Payroll</t>
  </si>
  <si>
    <t>Parkrose SBHC</t>
  </si>
  <si>
    <t>Public Guardian</t>
  </si>
  <si>
    <t>Portsmouth SBHC</t>
  </si>
  <si>
    <t>Pre-Sentence Investigation</t>
  </si>
  <si>
    <t>Risk Management</t>
  </si>
  <si>
    <t>Rockwood Community Clinic</t>
  </si>
  <si>
    <t>Roosevelt SBHC</t>
  </si>
  <si>
    <t>SBHC Administration</t>
  </si>
  <si>
    <t>Southeast Aging Services Office</t>
  </si>
  <si>
    <t>Southeast Dental Clinic</t>
  </si>
  <si>
    <t>Southeast Disability Services Office</t>
  </si>
  <si>
    <t>Southeast Health Clinic</t>
  </si>
  <si>
    <t>Southeast WIC</t>
  </si>
  <si>
    <t>MCSO - Administration</t>
  </si>
  <si>
    <t>State Medical Examiner</t>
  </si>
  <si>
    <t>STD Clinic &amp; Epidemiology</t>
  </si>
  <si>
    <t>Summit Project</t>
  </si>
  <si>
    <t>Tuberculosis Clinic</t>
  </si>
  <si>
    <t>Telecommunications</t>
  </si>
  <si>
    <t>District Attorney - Unit B</t>
  </si>
  <si>
    <t>District Attorney - Victims Assistance</t>
  </si>
  <si>
    <t>West Portland Disability Services Office</t>
  </si>
  <si>
    <t>West Aging Services Office</t>
  </si>
  <si>
    <t>Whitaker SBHC</t>
  </si>
  <si>
    <t>Boxes</t>
  </si>
  <si>
    <t>Accessioned</t>
  </si>
  <si>
    <t>District Attorney - Mental Commitments</t>
  </si>
  <si>
    <t>Animal Control</t>
  </si>
  <si>
    <t>Elections</t>
  </si>
  <si>
    <t>Sustainability</t>
  </si>
  <si>
    <t>FREDS Fleet Services</t>
  </si>
  <si>
    <t>A&amp;T Records Management</t>
  </si>
  <si>
    <t>Treasury</t>
  </si>
  <si>
    <t>Information Technology - Division Management</t>
  </si>
  <si>
    <t>Community Services</t>
  </si>
  <si>
    <t>Child &amp; Adolescent Treatment Services</t>
  </si>
  <si>
    <t>Managed Care Administration</t>
  </si>
  <si>
    <t>Enhanced DUII Bench Probation Program</t>
  </si>
  <si>
    <t>Hearings Unit</t>
  </si>
  <si>
    <t>Pre-Trial Release Services</t>
  </si>
  <si>
    <t>Alternative Community Services</t>
  </si>
  <si>
    <t>Forest Project</t>
  </si>
  <si>
    <t>Business Services</t>
  </si>
  <si>
    <t>Placement Services</t>
  </si>
  <si>
    <t>Detention Services</t>
  </si>
  <si>
    <t>Youth Services</t>
  </si>
  <si>
    <t>Coalition of Community Health Clinics</t>
  </si>
  <si>
    <t>School &amp; Community Dental Services</t>
  </si>
  <si>
    <t>HIV &amp; Hepititis C Community Programs</t>
  </si>
  <si>
    <t>Vector Control</t>
  </si>
  <si>
    <t>Immunization Unit</t>
  </si>
  <si>
    <t>Breast &amp; Cervical Cancer Program</t>
  </si>
  <si>
    <t>Planning &amp; Development</t>
  </si>
  <si>
    <t>Laboratory Services</t>
  </si>
  <si>
    <t>Language Services</t>
  </si>
  <si>
    <t>MCSO - Inmate Property</t>
  </si>
  <si>
    <t>MCSO - Close Street</t>
  </si>
  <si>
    <t>MCSO - Counseling</t>
  </si>
  <si>
    <t>MCSO - In Jail Intervention Program</t>
  </si>
  <si>
    <t>Total</t>
  </si>
  <si>
    <t>Human Resouces - Affirmative Action</t>
  </si>
  <si>
    <t>Grants Management &amp; Accounting</t>
  </si>
  <si>
    <t>Medical Accounts Receivable</t>
  </si>
  <si>
    <t>MultiCare Dental</t>
  </si>
  <si>
    <t>Environmental Health Services</t>
  </si>
  <si>
    <t>HIV Care Services</t>
  </si>
  <si>
    <t>MCSO - Transport Unit</t>
  </si>
  <si>
    <t>MCSO - Restitution Center</t>
  </si>
  <si>
    <t>MCSO - Inspections</t>
  </si>
  <si>
    <t>County Auditor</t>
  </si>
  <si>
    <t>Shelved</t>
  </si>
  <si>
    <t>Information Systems</t>
  </si>
  <si>
    <t>Medical Records Management</t>
  </si>
  <si>
    <t>Dental Services - Administration</t>
  </si>
  <si>
    <t>Edgefield Manor</t>
  </si>
  <si>
    <t>Emergency Medical Services</t>
  </si>
  <si>
    <t>Chair's Office</t>
  </si>
  <si>
    <t>District Attorney - Administrative Services</t>
  </si>
  <si>
    <t>MCSO - Facilities Security, Courthouse</t>
  </si>
  <si>
    <t>Emergency Management</t>
  </si>
  <si>
    <t>Business Services - Administration</t>
  </si>
  <si>
    <t>MCSO - Corrections Administration</t>
  </si>
  <si>
    <t>Health Officer</t>
  </si>
  <si>
    <t>Work Release Center</t>
  </si>
  <si>
    <t>Transition Services</t>
  </si>
  <si>
    <t>FREDS Electronic Services</t>
  </si>
  <si>
    <t>Adult Mental Health Program</t>
  </si>
  <si>
    <t>MCSO - Courthouse Jail</t>
  </si>
  <si>
    <t>MCSO - MCDC</t>
  </si>
  <si>
    <t>MCSO - MCCF</t>
  </si>
  <si>
    <t>MCSO - Electronic Monitoring</t>
  </si>
  <si>
    <t>Detention Alternatives</t>
  </si>
  <si>
    <t>Local Public Safety Coordinating Council</t>
  </si>
  <si>
    <t>Primary Care Clinics - Administration</t>
  </si>
  <si>
    <t>District Attorney - Office of the District Attorney</t>
  </si>
  <si>
    <t>MCSO - Work Crews</t>
  </si>
  <si>
    <t>Commission on Children, Families, &amp; Community</t>
  </si>
  <si>
    <t>Portland Womens' Health Study</t>
  </si>
  <si>
    <t>Family Service Unit</t>
  </si>
  <si>
    <t>Citizen Involvment</t>
  </si>
  <si>
    <t>DCJ Total</t>
  </si>
  <si>
    <t>DCHS Total</t>
  </si>
  <si>
    <t>DOH Total</t>
  </si>
  <si>
    <t>DLS Total</t>
  </si>
  <si>
    <t>MCSO</t>
  </si>
  <si>
    <t>DA Total</t>
  </si>
  <si>
    <t>MCSO Total</t>
  </si>
  <si>
    <t xml:space="preserve">% of </t>
  </si>
  <si>
    <t>of %'s</t>
  </si>
  <si>
    <t>Average</t>
  </si>
  <si>
    <t>DCFS Youth Program Office</t>
  </si>
  <si>
    <t>Budget in 60460 for Records Services</t>
  </si>
  <si>
    <t>Disease Prev &amp; Control/Comm.Disease Control</t>
  </si>
  <si>
    <t>Southeast/Westside Field Office</t>
  </si>
  <si>
    <t>Westside/Burnside Health Clinic</t>
  </si>
  <si>
    <t>Mental Health &amp; Addiction Svcs./Admin.</t>
  </si>
  <si>
    <t>DCFS Children, Youth &amp; Family Services</t>
  </si>
  <si>
    <t>Developmental Disabilities/Adult Services</t>
  </si>
  <si>
    <t>District Attorney - Juvenile Court Trial Unit</t>
  </si>
  <si>
    <t>F&amp;PM /Housing/Tax Title</t>
  </si>
  <si>
    <t>LUT/Roadway Engineering &amp; Operations</t>
  </si>
  <si>
    <t>Adult Care Home Program</t>
  </si>
  <si>
    <t xml:space="preserve">Corrections Health - Juvenile Services </t>
  </si>
  <si>
    <t>F&amp;PM/Operations &amp; Maintenance</t>
  </si>
  <si>
    <t>Dental Access Program</t>
  </si>
  <si>
    <t>ACJ Administration</t>
  </si>
  <si>
    <t>Mid County Pharmacy</t>
  </si>
  <si>
    <t>Corrections Health - Inverness Jail</t>
  </si>
  <si>
    <t>Centralized Intake</t>
  </si>
  <si>
    <t>District Attorney - SED Gresham</t>
  </si>
  <si>
    <t>Disease Prev &amp; Control/Food Handler</t>
  </si>
  <si>
    <t>Community Health Field/Connections Program</t>
  </si>
  <si>
    <t>MCSO - Planning &amp; Research</t>
  </si>
  <si>
    <t>F&amp;PM/Planning</t>
  </si>
  <si>
    <t>F&amp;PM/Fiscal</t>
  </si>
  <si>
    <t>F&amp;PM/Property Management</t>
  </si>
  <si>
    <t>MCSO - Facility Services/Administration</t>
  </si>
  <si>
    <t>DD/Operations &amp; Protective Services</t>
  </si>
  <si>
    <t>WIC Administration</t>
  </si>
  <si>
    <t>Developmental Disabilities/Administration</t>
  </si>
  <si>
    <t>DD/Quality &amp; Specialized Services</t>
  </si>
  <si>
    <t>DD/Regional Crisis Diversion Services</t>
  </si>
  <si>
    <t>Developmental Disabilities/Children's Services</t>
  </si>
  <si>
    <t>District Attorney - Felony Court Division</t>
  </si>
  <si>
    <t>District Attorney - Misdemeanor Trial Unit</t>
  </si>
  <si>
    <t>DD/Community Options Brokerage</t>
  </si>
  <si>
    <t>P&amp;D/Program Design &amp; Evaluation</t>
  </si>
  <si>
    <t>East County Teen Clinic</t>
  </si>
  <si>
    <t>MCSO - Auxiliary Svcs/Commissary</t>
  </si>
  <si>
    <t>DD/Adult Protective Service Program</t>
  </si>
  <si>
    <t>North Portland Pharmacy</t>
  </si>
  <si>
    <t>Department of County Management</t>
  </si>
  <si>
    <t>Juvenile Justice Accountability Programs</t>
  </si>
  <si>
    <t>LUT/Bridge Operations &amp; Maintenance</t>
  </si>
  <si>
    <t>Westside Pharmacy</t>
  </si>
  <si>
    <t>Support Services - Administration</t>
  </si>
  <si>
    <t>MCSO - Human Resources</t>
  </si>
  <si>
    <t>Research &amp; Evaluation</t>
  </si>
  <si>
    <t>Juvenile Justice Skill Development Unit</t>
  </si>
  <si>
    <t>East County Pharmacy</t>
  </si>
  <si>
    <t>Intake &amp; Court Svcs/Clean Court</t>
  </si>
  <si>
    <t>Domestic Violence Coordinator's Office</t>
  </si>
  <si>
    <t>Surveyor</t>
  </si>
  <si>
    <t>Healthy Birth Initiative</t>
  </si>
  <si>
    <t>SAP Support</t>
  </si>
  <si>
    <t>MCSO - Enforcement/Support</t>
  </si>
  <si>
    <t>Reduced Supervision Team</t>
  </si>
  <si>
    <t>ECS Willamette North</t>
  </si>
  <si>
    <t>East Probation &amp; Parole (MTEA)</t>
  </si>
  <si>
    <t>Commissioner, District 3</t>
  </si>
  <si>
    <t>Budget Office</t>
  </si>
  <si>
    <t>MCSO - Pre-Trial Release Supervision Program</t>
  </si>
  <si>
    <t>MCSO - Booking</t>
  </si>
  <si>
    <t>DUII Evaluation Program</t>
  </si>
  <si>
    <t>High Risk Drug Unit</t>
  </si>
  <si>
    <t>Northeast Healthy Start</t>
  </si>
  <si>
    <t>District Attorney - Gresham Trial Unit</t>
  </si>
  <si>
    <t>F&amp;PM/Contracts &amp; Procurement</t>
  </si>
  <si>
    <t>Pharmacies, Clinic</t>
  </si>
  <si>
    <t>District Attorney - Family &amp; Community Justice</t>
  </si>
  <si>
    <t>LUT/Administrative Support</t>
  </si>
  <si>
    <t>Animal Control/Field Services</t>
  </si>
  <si>
    <t>Animal Control/Shelter Services</t>
  </si>
  <si>
    <t>DCS Total</t>
  </si>
  <si>
    <t>DCM Total</t>
  </si>
  <si>
    <t>Non-Departmental (exc. Regional Drug, State Juvenile Court) Total</t>
  </si>
  <si>
    <t>MCSO - Auxiliary Svcs/Warehouse</t>
  </si>
  <si>
    <t>(as of 08/14/2007)</t>
  </si>
  <si>
    <t>DCHS Directors Office</t>
  </si>
  <si>
    <t>ECS Program Management</t>
  </si>
  <si>
    <t>ECS Cascade East</t>
  </si>
  <si>
    <t>Special Supervision Unit (MTST)</t>
  </si>
  <si>
    <t>Volunteer Services/Title Wave Book Store</t>
  </si>
  <si>
    <t>Commissioner, District 2</t>
  </si>
  <si>
    <t>Londer Learning Center</t>
  </si>
  <si>
    <t>LUT/Fiscal</t>
  </si>
  <si>
    <t>PERS, Deferred Comp, &amp; Tax Reporting</t>
  </si>
  <si>
    <t>OSCP Administration</t>
  </si>
  <si>
    <t>OSCP Community Services - CFSC System</t>
  </si>
  <si>
    <t>OSCP Community Services - Homeless Youth</t>
  </si>
  <si>
    <t>OSCP Community Services - Housing &amp; Public Works</t>
  </si>
  <si>
    <t>OSCP Community Services - HSP/EHA/Winter Shelter</t>
  </si>
  <si>
    <t>OSCP Clearinghouse</t>
  </si>
  <si>
    <t>OSCP Community Partnerships</t>
  </si>
  <si>
    <t>OSCP Contracts</t>
  </si>
  <si>
    <t>OSCP Energy Programs</t>
  </si>
  <si>
    <t>OSCP Program Support/Budget &amp; Fiscal</t>
  </si>
  <si>
    <t>OSCP Program Support/Grant Administration</t>
  </si>
  <si>
    <t>OSCP Program Support/Personnel/Training</t>
  </si>
  <si>
    <t>OSCP School Linked Services</t>
  </si>
  <si>
    <t>FY08 % of Total</t>
  </si>
  <si>
    <t>Change in % of allocation</t>
  </si>
  <si>
    <t>Change in $'s Allocated</t>
  </si>
  <si>
    <t>FY08 Allocation for Records Services</t>
  </si>
  <si>
    <t>Department of Community Services</t>
  </si>
  <si>
    <t>Outside Agency Revenue -reducing allocation to departments</t>
  </si>
  <si>
    <t>Comparison to FY08 Budget Allocation</t>
  </si>
  <si>
    <t xml:space="preserve">  FY09 Budget Allocation</t>
  </si>
  <si>
    <t>FY09 % of Total</t>
  </si>
  <si>
    <t>FY09 Budget Allocation</t>
  </si>
  <si>
    <t>FY08 Budget  Allocation</t>
  </si>
  <si>
    <t>FY09 Allocation for Records Services</t>
  </si>
  <si>
    <t>for DCS</t>
  </si>
  <si>
    <t>for DCM</t>
  </si>
  <si>
    <t>for DCJ</t>
  </si>
  <si>
    <t>for MCSO</t>
  </si>
  <si>
    <t>for DA</t>
  </si>
  <si>
    <t>for DOH</t>
  </si>
  <si>
    <t>for DCHS</t>
  </si>
  <si>
    <t>(Based on FY07 Service Usage Data)</t>
  </si>
  <si>
    <t>for LIB</t>
  </si>
  <si>
    <t>for Non-Dept</t>
  </si>
  <si>
    <t>% of use by program</t>
  </si>
  <si>
    <t>Cost Center</t>
  </si>
  <si>
    <t>A&amp;T Tax Accounting Management &amp; Administration</t>
  </si>
  <si>
    <t>A&amp;T Tax Collection</t>
  </si>
  <si>
    <t>A&amp;T Property Valuation/Technical Support</t>
  </si>
  <si>
    <t>A&amp;T Property Valuation/Exemptions</t>
  </si>
  <si>
    <t>A&amp;T Property Valuation/Appraisal</t>
  </si>
  <si>
    <t>A&amp;T Board of Property Tax Appeal</t>
  </si>
  <si>
    <t>A&amp;T Document Recording</t>
  </si>
  <si>
    <t>A&amp;T Marriage Licenses</t>
  </si>
  <si>
    <t>Cost Centers</t>
  </si>
  <si>
    <t>706204(80%) / 706201(20%)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</si>
</sst>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&quot;$&quot;#,##0.0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$&quot;#,##0"/>
    <numFmt numFmtId="187" formatCode="&quot;$&quot;#,##0.0_);\(&quot;$&quot;#,##0.0\)"/>
    <numFmt numFmtId="188" formatCode="&quot;$&quot;#,##0.0"/>
    <numFmt numFmtId="189" formatCode="_(* #,##0.0_);_(* \(#,##0.0\);_(* &quot;-&quot;??_);_(@_)"/>
    <numFmt numFmtId="190" formatCode="_(* #,##0_);_(* \(#,##0\);_(* &quot;-&quot;??_);_(@_)"/>
    <numFmt numFmtId="191" formatCode="&quot;$&quot;#,##0.000"/>
    <numFmt numFmtId="192" formatCode="&quot;$&quot;#,##0.0000"/>
    <numFmt numFmtId="193" formatCode="0.00000000000000000%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21" applyNumberFormat="1" applyFont="1" applyAlignment="1">
      <alignment/>
    </xf>
    <xf numFmtId="0" fontId="0" fillId="0" borderId="0" xfId="0" applyFill="1" applyAlignment="1">
      <alignment/>
    </xf>
    <xf numFmtId="10" fontId="1" fillId="0" borderId="0" xfId="21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10" fontId="1" fillId="2" borderId="1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0" fontId="0" fillId="0" borderId="0" xfId="21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164" fontId="0" fillId="0" borderId="5" xfId="21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21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1" fillId="0" borderId="0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86" fontId="1" fillId="2" borderId="0" xfId="0" applyNumberFormat="1" applyFon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86" fontId="0" fillId="0" borderId="3" xfId="0" applyNumberFormat="1" applyFill="1" applyBorder="1" applyAlignment="1">
      <alignment/>
    </xf>
    <xf numFmtId="0" fontId="1" fillId="0" borderId="1" xfId="0" applyFont="1" applyBorder="1" applyAlignment="1">
      <alignment/>
    </xf>
    <xf numFmtId="10" fontId="1" fillId="2" borderId="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10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21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21" applyNumberFormat="1" applyFont="1" applyBorder="1" applyAlignment="1">
      <alignment/>
    </xf>
    <xf numFmtId="10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21" applyNumberFormat="1" applyFont="1" applyBorder="1" applyAlignment="1">
      <alignment/>
    </xf>
    <xf numFmtId="10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5" fontId="1" fillId="0" borderId="7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5" fontId="0" fillId="0" borderId="7" xfId="0" applyNumberForma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5" fontId="1" fillId="0" borderId="0" xfId="17" applyNumberFormat="1" applyFont="1" applyBorder="1" applyAlignment="1">
      <alignment/>
    </xf>
    <xf numFmtId="5" fontId="0" fillId="0" borderId="0" xfId="0" applyNumberFormat="1" applyBorder="1" applyAlignment="1">
      <alignment/>
    </xf>
    <xf numFmtId="165" fontId="1" fillId="0" borderId="0" xfId="0" applyNumberFormat="1" applyFont="1" applyAlignment="1">
      <alignment/>
    </xf>
    <xf numFmtId="10" fontId="1" fillId="0" borderId="4" xfId="21" applyNumberFormat="1" applyFont="1" applyBorder="1" applyAlignment="1">
      <alignment/>
    </xf>
    <xf numFmtId="10" fontId="0" fillId="0" borderId="12" xfId="0" applyNumberFormat="1" applyBorder="1" applyAlignment="1">
      <alignment/>
    </xf>
    <xf numFmtId="10" fontId="1" fillId="0" borderId="3" xfId="21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0" fontId="0" fillId="0" borderId="3" xfId="0" applyNumberFormat="1" applyFill="1" applyBorder="1" applyAlignment="1">
      <alignment/>
    </xf>
    <xf numFmtId="10" fontId="0" fillId="0" borderId="3" xfId="0" applyNumberFormat="1" applyBorder="1" applyAlignment="1">
      <alignment/>
    </xf>
    <xf numFmtId="165" fontId="0" fillId="0" borderId="0" xfId="21" applyNumberFormat="1" applyFont="1" applyBorder="1" applyAlignment="1">
      <alignment/>
    </xf>
    <xf numFmtId="165" fontId="0" fillId="0" borderId="0" xfId="21" applyNumberFormat="1" applyFont="1" applyFill="1" applyBorder="1" applyAlignment="1">
      <alignment/>
    </xf>
    <xf numFmtId="186" fontId="1" fillId="2" borderId="9" xfId="0" applyNumberFormat="1" applyFont="1" applyFill="1" applyBorder="1" applyAlignment="1">
      <alignment/>
    </xf>
    <xf numFmtId="186" fontId="1" fillId="0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10" fontId="0" fillId="0" borderId="9" xfId="0" applyNumberFormat="1" applyBorder="1" applyAlignment="1">
      <alignment/>
    </xf>
    <xf numFmtId="10" fontId="1" fillId="2" borderId="1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Border="1" applyAlignment="1">
      <alignment/>
    </xf>
    <xf numFmtId="0" fontId="1" fillId="2" borderId="14" xfId="0" applyFont="1" applyFill="1" applyBorder="1" applyAlignment="1">
      <alignment/>
    </xf>
    <xf numFmtId="0" fontId="2" fillId="0" borderId="8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" fillId="0" borderId="13" xfId="0" applyFont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64" fontId="0" fillId="2" borderId="11" xfId="21" applyNumberFormat="1" applyFont="1" applyFill="1" applyBorder="1" applyAlignment="1">
      <alignment/>
    </xf>
    <xf numFmtId="10" fontId="0" fillId="2" borderId="11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164" fontId="0" fillId="0" borderId="15" xfId="21" applyNumberFormat="1" applyFont="1" applyBorder="1" applyAlignment="1">
      <alignment/>
    </xf>
    <xf numFmtId="10" fontId="1" fillId="0" borderId="15" xfId="21" applyNumberFormat="1" applyFont="1" applyBorder="1" applyAlignment="1">
      <alignment/>
    </xf>
    <xf numFmtId="10" fontId="1" fillId="0" borderId="16" xfId="21" applyNumberFormat="1" applyFont="1" applyBorder="1" applyAlignment="1">
      <alignment/>
    </xf>
    <xf numFmtId="164" fontId="1" fillId="0" borderId="15" xfId="21" applyNumberFormat="1" applyFont="1" applyBorder="1" applyAlignment="1">
      <alignment/>
    </xf>
    <xf numFmtId="164" fontId="1" fillId="0" borderId="16" xfId="21" applyNumberFormat="1" applyFont="1" applyBorder="1" applyAlignment="1">
      <alignment/>
    </xf>
    <xf numFmtId="186" fontId="0" fillId="0" borderId="0" xfId="0" applyNumberFormat="1" applyAlignment="1">
      <alignment/>
    </xf>
    <xf numFmtId="2" fontId="1" fillId="2" borderId="3" xfId="0" applyNumberFormat="1" applyFont="1" applyFill="1" applyBorder="1" applyAlignment="1">
      <alignment/>
    </xf>
    <xf numFmtId="186" fontId="1" fillId="2" borderId="3" xfId="0" applyNumberFormat="1" applyFont="1" applyFill="1" applyBorder="1" applyAlignment="1">
      <alignment/>
    </xf>
    <xf numFmtId="186" fontId="1" fillId="2" borderId="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Font="1" applyBorder="1" applyAlignment="1">
      <alignment/>
    </xf>
    <xf numFmtId="10" fontId="1" fillId="2" borderId="6" xfId="0" applyNumberFormat="1" applyFont="1" applyFill="1" applyBorder="1" applyAlignment="1">
      <alignment/>
    </xf>
    <xf numFmtId="186" fontId="1" fillId="2" borderId="7" xfId="0" applyNumberFormat="1" applyFont="1" applyFill="1" applyBorder="1" applyAlignment="1">
      <alignment/>
    </xf>
    <xf numFmtId="10" fontId="1" fillId="0" borderId="7" xfId="21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21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10" fontId="1" fillId="0" borderId="11" xfId="21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7" xfId="0" applyFont="1" applyFill="1" applyBorder="1" applyAlignment="1">
      <alignment horizontal="right" wrapText="1"/>
    </xf>
    <xf numFmtId="164" fontId="1" fillId="0" borderId="0" xfId="21" applyNumberFormat="1" applyFont="1" applyBorder="1" applyAlignment="1">
      <alignment/>
    </xf>
    <xf numFmtId="0" fontId="1" fillId="0" borderId="14" xfId="0" applyFont="1" applyBorder="1" applyAlignment="1">
      <alignment/>
    </xf>
    <xf numFmtId="6" fontId="1" fillId="2" borderId="18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2" borderId="1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6" fontId="1" fillId="2" borderId="2" xfId="0" applyNumberFormat="1" applyFont="1" applyFill="1" applyBorder="1" applyAlignment="1">
      <alignment horizontal="center"/>
    </xf>
    <xf numFmtId="6" fontId="1" fillId="2" borderId="4" xfId="0" applyNumberFormat="1" applyFont="1" applyFill="1" applyBorder="1" applyAlignment="1">
      <alignment horizontal="center"/>
    </xf>
    <xf numFmtId="10" fontId="1" fillId="2" borderId="18" xfId="0" applyNumberFormat="1" applyFont="1" applyFill="1" applyBorder="1" applyAlignment="1">
      <alignment horizontal="center" wrapText="1"/>
    </xf>
    <xf numFmtId="10" fontId="1" fillId="2" borderId="12" xfId="0" applyNumberFormat="1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wrapText="1"/>
    </xf>
    <xf numFmtId="10" fontId="1" fillId="2" borderId="4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pane xSplit="1" ySplit="5" topLeftCell="D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F9" sqref="F9"/>
    </sheetView>
  </sheetViews>
  <sheetFormatPr defaultColWidth="9.140625" defaultRowHeight="12.75" outlineLevelCol="1"/>
  <cols>
    <col min="1" max="1" width="36.00390625" style="0" customWidth="1"/>
    <col min="2" max="2" width="9.140625" style="2" hidden="1" customWidth="1" outlineLevel="1"/>
    <col min="3" max="3" width="9.140625" style="7" hidden="1" customWidth="1" outlineLevel="1"/>
    <col min="4" max="4" width="11.7109375" style="2" hidden="1" customWidth="1" outlineLevel="1"/>
    <col min="5" max="5" width="9.140625" style="7" hidden="1" customWidth="1" outlineLevel="1"/>
    <col min="6" max="6" width="9.140625" style="2" hidden="1" customWidth="1" outlineLevel="1"/>
    <col min="7" max="7" width="9.140625" style="7" hidden="1" customWidth="1" outlineLevel="1"/>
    <col min="8" max="8" width="12.7109375" style="6" hidden="1" customWidth="1" outlineLevel="1"/>
    <col min="9" max="9" width="5.140625" style="6" customWidth="1" collapsed="1"/>
    <col min="10" max="10" width="10.7109375" style="70" customWidth="1"/>
    <col min="11" max="11" width="17.8515625" style="1" customWidth="1"/>
    <col min="12" max="12" width="4.57421875" style="0" customWidth="1"/>
    <col min="13" max="13" width="5.57421875" style="0" customWidth="1"/>
    <col min="14" max="14" width="14.8515625" style="0" customWidth="1"/>
    <col min="15" max="15" width="17.140625" style="0" customWidth="1"/>
    <col min="16" max="16" width="2.421875" style="0" customWidth="1"/>
    <col min="17" max="17" width="14.421875" style="0" bestFit="1" customWidth="1"/>
    <col min="18" max="18" width="16.8515625" style="0" customWidth="1"/>
  </cols>
  <sheetData>
    <row r="1" spans="1:12" ht="18.75" customHeight="1" thickBot="1">
      <c r="A1" s="1"/>
      <c r="J1" s="24"/>
      <c r="K1" s="25"/>
      <c r="L1" s="26"/>
    </row>
    <row r="2" spans="1:18" ht="43.5" customHeight="1" thickBot="1">
      <c r="A2" s="95" t="s">
        <v>314</v>
      </c>
      <c r="B2" s="96"/>
      <c r="C2" s="97"/>
      <c r="D2" s="96"/>
      <c r="E2" s="97"/>
      <c r="F2" s="96"/>
      <c r="G2" s="97"/>
      <c r="H2" s="98"/>
      <c r="I2" s="99"/>
      <c r="J2" s="29"/>
      <c r="K2" s="23" t="s">
        <v>204</v>
      </c>
      <c r="L2" s="30"/>
      <c r="N2" s="137" t="s">
        <v>309</v>
      </c>
      <c r="O2" s="138"/>
      <c r="P2" s="138"/>
      <c r="Q2" s="138"/>
      <c r="R2" s="139"/>
    </row>
    <row r="3" spans="1:18" ht="18" customHeight="1">
      <c r="A3" s="14"/>
      <c r="B3" s="31"/>
      <c r="C3" s="32"/>
      <c r="D3" s="31"/>
      <c r="E3" s="32"/>
      <c r="F3" s="31"/>
      <c r="G3" s="32"/>
      <c r="H3" s="33"/>
      <c r="I3" s="72"/>
      <c r="J3" s="135" t="s">
        <v>311</v>
      </c>
      <c r="K3" s="140" t="s">
        <v>310</v>
      </c>
      <c r="L3" s="141"/>
      <c r="N3" s="144" t="s">
        <v>303</v>
      </c>
      <c r="O3" s="146" t="s">
        <v>313</v>
      </c>
      <c r="P3" s="15"/>
      <c r="Q3" s="144" t="s">
        <v>304</v>
      </c>
      <c r="R3" s="146" t="s">
        <v>305</v>
      </c>
    </row>
    <row r="4" spans="1:18" ht="14.25" customHeight="1">
      <c r="A4" s="14"/>
      <c r="B4" s="31" t="s">
        <v>2</v>
      </c>
      <c r="C4" s="32" t="s">
        <v>200</v>
      </c>
      <c r="D4" s="31" t="s">
        <v>117</v>
      </c>
      <c r="E4" s="32" t="s">
        <v>200</v>
      </c>
      <c r="F4" s="31" t="s">
        <v>117</v>
      </c>
      <c r="G4" s="32" t="s">
        <v>200</v>
      </c>
      <c r="H4" s="34" t="s">
        <v>202</v>
      </c>
      <c r="I4" s="73"/>
      <c r="J4" s="136"/>
      <c r="K4" s="142"/>
      <c r="L4" s="143"/>
      <c r="N4" s="145"/>
      <c r="O4" s="147"/>
      <c r="P4" s="15"/>
      <c r="Q4" s="145"/>
      <c r="R4" s="147"/>
    </row>
    <row r="5" spans="1:18" ht="12.75">
      <c r="A5" s="35" t="s">
        <v>1</v>
      </c>
      <c r="B5" s="36" t="s">
        <v>3</v>
      </c>
      <c r="C5" s="32" t="s">
        <v>152</v>
      </c>
      <c r="D5" s="36" t="s">
        <v>118</v>
      </c>
      <c r="E5" s="32" t="s">
        <v>152</v>
      </c>
      <c r="F5" s="36" t="s">
        <v>163</v>
      </c>
      <c r="G5" s="32" t="s">
        <v>152</v>
      </c>
      <c r="H5" s="34" t="s">
        <v>201</v>
      </c>
      <c r="I5" s="34"/>
      <c r="J5" s="37"/>
      <c r="K5" s="38">
        <f>681251+11079+K26</f>
        <v>684588</v>
      </c>
      <c r="L5" s="39"/>
      <c r="N5" s="40"/>
      <c r="O5" s="80">
        <v>677237</v>
      </c>
      <c r="P5" s="15"/>
      <c r="Q5" s="40"/>
      <c r="R5" s="41">
        <f>+K5-O5</f>
        <v>7351</v>
      </c>
    </row>
    <row r="6" spans="1:18" ht="12.75">
      <c r="A6" s="42"/>
      <c r="B6" s="31"/>
      <c r="C6" s="32"/>
      <c r="D6" s="31"/>
      <c r="E6" s="32"/>
      <c r="F6" s="31"/>
      <c r="G6" s="32"/>
      <c r="H6" s="34"/>
      <c r="I6" s="34"/>
      <c r="J6" s="43"/>
      <c r="K6" s="38"/>
      <c r="L6" s="12"/>
      <c r="N6" s="44"/>
      <c r="O6" s="13"/>
      <c r="P6" s="45"/>
      <c r="Q6" s="44"/>
      <c r="R6" s="13"/>
    </row>
    <row r="7" spans="1:18" ht="12.75">
      <c r="A7" s="42" t="s">
        <v>244</v>
      </c>
      <c r="B7" s="31">
        <v>1634</v>
      </c>
      <c r="C7" s="32">
        <v>0.11319709040526497</v>
      </c>
      <c r="D7" s="31">
        <v>505</v>
      </c>
      <c r="E7" s="32">
        <v>0.10992599042228994</v>
      </c>
      <c r="F7" s="31">
        <v>3134</v>
      </c>
      <c r="G7" s="32">
        <v>0.10688220448809767</v>
      </c>
      <c r="H7" s="77">
        <v>0.1100017617718842</v>
      </c>
      <c r="I7" s="34"/>
      <c r="J7" s="43">
        <f>ROUND(H7,4)</f>
        <v>0.11</v>
      </c>
      <c r="K7" s="38">
        <f>+J7*$K$5</f>
        <v>75304.68000000001</v>
      </c>
      <c r="L7" s="12"/>
      <c r="N7" s="46">
        <v>0.1263</v>
      </c>
      <c r="O7" s="41">
        <f>+$O$5*N7</f>
        <v>85535.0331</v>
      </c>
      <c r="P7" s="45"/>
      <c r="Q7" s="46">
        <f>+J7-N7</f>
        <v>-0.016299999999999995</v>
      </c>
      <c r="R7" s="41">
        <f>+K7-O7</f>
        <v>-10230.353099999993</v>
      </c>
    </row>
    <row r="8" spans="1:18" ht="12.75">
      <c r="A8" s="42"/>
      <c r="B8" s="31"/>
      <c r="C8" s="32"/>
      <c r="D8" s="31"/>
      <c r="E8" s="32"/>
      <c r="F8" s="31"/>
      <c r="G8" s="32"/>
      <c r="H8" s="77"/>
      <c r="I8" s="34"/>
      <c r="J8" s="43"/>
      <c r="K8" s="38"/>
      <c r="L8" s="12"/>
      <c r="N8" s="44"/>
      <c r="O8" s="13"/>
      <c r="P8" s="15"/>
      <c r="Q8" s="44"/>
      <c r="R8" s="13"/>
    </row>
    <row r="9" spans="1:18" ht="12.75">
      <c r="A9" s="42" t="s">
        <v>307</v>
      </c>
      <c r="B9" s="31">
        <v>13</v>
      </c>
      <c r="C9" s="32">
        <v>0.0009005888465535158</v>
      </c>
      <c r="D9" s="31">
        <v>182</v>
      </c>
      <c r="E9" s="32">
        <v>0.039616891597736174</v>
      </c>
      <c r="F9" s="31">
        <v>878</v>
      </c>
      <c r="G9" s="32">
        <v>0.02994338721778869</v>
      </c>
      <c r="H9" s="77">
        <v>0.023486955887359457</v>
      </c>
      <c r="I9" s="34"/>
      <c r="J9" s="43">
        <f>ROUND(H9,4)</f>
        <v>0.0235</v>
      </c>
      <c r="K9" s="38">
        <f>+J9*$K$5</f>
        <v>16087.818</v>
      </c>
      <c r="L9" s="12"/>
      <c r="N9" s="46">
        <v>0.043</v>
      </c>
      <c r="O9" s="41">
        <f>+$O$5*N9</f>
        <v>29121.191</v>
      </c>
      <c r="P9" s="45"/>
      <c r="Q9" s="46">
        <f>+J9-N9</f>
        <v>-0.019499999999999997</v>
      </c>
      <c r="R9" s="41">
        <f>+K9-O9</f>
        <v>-13033.373</v>
      </c>
    </row>
    <row r="10" spans="1:18" ht="12.75">
      <c r="A10" s="47"/>
      <c r="B10" s="31"/>
      <c r="C10" s="32"/>
      <c r="D10" s="31"/>
      <c r="E10" s="32"/>
      <c r="F10" s="31"/>
      <c r="G10" s="32"/>
      <c r="H10" s="77"/>
      <c r="I10" s="34"/>
      <c r="J10" s="43"/>
      <c r="K10" s="38"/>
      <c r="L10" s="12"/>
      <c r="N10" s="44"/>
      <c r="O10" s="13"/>
      <c r="P10" s="15"/>
      <c r="Q10" s="44"/>
      <c r="R10" s="13"/>
    </row>
    <row r="11" spans="1:18" ht="12.75">
      <c r="A11" s="42" t="s">
        <v>6</v>
      </c>
      <c r="B11" s="31">
        <v>1602</v>
      </c>
      <c r="C11" s="32">
        <v>0.11098025632144094</v>
      </c>
      <c r="D11" s="31">
        <v>589</v>
      </c>
      <c r="E11" s="32">
        <v>0.1282107096212451</v>
      </c>
      <c r="F11" s="31">
        <v>3209</v>
      </c>
      <c r="G11" s="32">
        <v>0.10944001091330742</v>
      </c>
      <c r="H11" s="77">
        <v>0.11621032561866447</v>
      </c>
      <c r="I11" s="34"/>
      <c r="J11" s="43">
        <f>ROUND(H11,4)</f>
        <v>0.1162</v>
      </c>
      <c r="K11" s="38">
        <f>+J11*$K$5</f>
        <v>79549.1256</v>
      </c>
      <c r="L11" s="12"/>
      <c r="N11" s="46">
        <v>0.1149</v>
      </c>
      <c r="O11" s="41">
        <f>+$O$5*N11</f>
        <v>77814.5313</v>
      </c>
      <c r="P11" s="45"/>
      <c r="Q11" s="46">
        <f>+J11-N11</f>
        <v>0.0012999999999999956</v>
      </c>
      <c r="R11" s="41">
        <f>+K11-O11</f>
        <v>1734.594299999997</v>
      </c>
    </row>
    <row r="12" spans="1:18" s="4" customFormat="1" ht="12.75">
      <c r="A12" s="44"/>
      <c r="B12" s="48"/>
      <c r="C12" s="49"/>
      <c r="D12" s="48"/>
      <c r="E12" s="49"/>
      <c r="F12" s="48"/>
      <c r="G12" s="49"/>
      <c r="H12" s="78"/>
      <c r="I12" s="50"/>
      <c r="J12" s="43"/>
      <c r="K12" s="38"/>
      <c r="L12" s="12"/>
      <c r="N12" s="44"/>
      <c r="O12" s="13"/>
      <c r="P12" s="51"/>
      <c r="Q12" s="44"/>
      <c r="R12" s="13"/>
    </row>
    <row r="13" spans="1:18" ht="12" customHeight="1">
      <c r="A13" s="42" t="s">
        <v>9</v>
      </c>
      <c r="B13" s="31">
        <v>1336</v>
      </c>
      <c r="C13" s="32">
        <v>0.09255282299965362</v>
      </c>
      <c r="D13" s="31">
        <v>695</v>
      </c>
      <c r="E13" s="32">
        <v>0.15128428384849804</v>
      </c>
      <c r="F13" s="31">
        <v>5672</v>
      </c>
      <c r="G13" s="32">
        <v>0.1934383739171953</v>
      </c>
      <c r="H13" s="77">
        <v>0.14575849358844897</v>
      </c>
      <c r="I13" s="34"/>
      <c r="J13" s="43">
        <f>ROUND(H13,4)</f>
        <v>0.1458</v>
      </c>
      <c r="K13" s="38">
        <f>+J13*$K$5</f>
        <v>99812.93040000001</v>
      </c>
      <c r="L13" s="12"/>
      <c r="N13" s="46">
        <v>0.147</v>
      </c>
      <c r="O13" s="41">
        <f>+$O$5*N13</f>
        <v>99553.83899999999</v>
      </c>
      <c r="P13" s="45"/>
      <c r="Q13" s="46">
        <f>+J13-N13</f>
        <v>-0.0011999999999999789</v>
      </c>
      <c r="R13" s="41">
        <f>+K13-O13</f>
        <v>259.09140000001935</v>
      </c>
    </row>
    <row r="14" spans="1:18" s="4" customFormat="1" ht="12.75">
      <c r="A14" s="44"/>
      <c r="B14" s="48"/>
      <c r="C14" s="49"/>
      <c r="D14" s="48"/>
      <c r="E14" s="49"/>
      <c r="F14" s="48"/>
      <c r="G14" s="49"/>
      <c r="H14" s="78"/>
      <c r="I14" s="50"/>
      <c r="J14" s="43"/>
      <c r="K14" s="38"/>
      <c r="L14" s="12"/>
      <c r="N14" s="44"/>
      <c r="O14" s="13"/>
      <c r="P14" s="51"/>
      <c r="Q14" s="44"/>
      <c r="R14" s="13"/>
    </row>
    <row r="15" spans="1:18" ht="12.75">
      <c r="A15" s="42" t="s">
        <v>14</v>
      </c>
      <c r="B15" s="31">
        <v>5966</v>
      </c>
      <c r="C15" s="32">
        <v>0.4133010045029442</v>
      </c>
      <c r="D15" s="31">
        <v>1012</v>
      </c>
      <c r="E15" s="32">
        <v>0.22028733130169786</v>
      </c>
      <c r="F15" s="31">
        <v>5843</v>
      </c>
      <c r="G15" s="32">
        <v>0.19927017256667348</v>
      </c>
      <c r="H15" s="77">
        <v>0.2776195027904385</v>
      </c>
      <c r="I15" s="34"/>
      <c r="J15" s="43">
        <f>ROUND(H15,4)</f>
        <v>0.2776</v>
      </c>
      <c r="K15" s="38">
        <f>+J15*$K$5</f>
        <v>190041.6288</v>
      </c>
      <c r="L15" s="12"/>
      <c r="N15" s="46">
        <v>0.264</v>
      </c>
      <c r="O15" s="41">
        <f>+$O$5*N15</f>
        <v>178790.568</v>
      </c>
      <c r="P15" s="45"/>
      <c r="Q15" s="46">
        <f>+J15-N15</f>
        <v>0.013600000000000001</v>
      </c>
      <c r="R15" s="41">
        <f>+K15-O15</f>
        <v>11251.060800000007</v>
      </c>
    </row>
    <row r="16" spans="1:18" ht="12.75">
      <c r="A16" s="14"/>
      <c r="B16" s="31"/>
      <c r="C16" s="32"/>
      <c r="D16" s="31"/>
      <c r="E16" s="32"/>
      <c r="F16" s="31"/>
      <c r="G16" s="32"/>
      <c r="H16" s="77"/>
      <c r="I16" s="33"/>
      <c r="J16" s="43"/>
      <c r="K16" s="38"/>
      <c r="L16" s="12"/>
      <c r="N16" s="44"/>
      <c r="O16" s="13"/>
      <c r="P16" s="15"/>
      <c r="Q16" s="44"/>
      <c r="R16" s="13"/>
    </row>
    <row r="17" spans="1:18" ht="12.75">
      <c r="A17" s="42" t="s">
        <v>36</v>
      </c>
      <c r="B17" s="31">
        <v>13</v>
      </c>
      <c r="C17" s="32">
        <v>0.0009005888465535158</v>
      </c>
      <c r="D17" s="31">
        <v>56</v>
      </c>
      <c r="E17" s="32">
        <v>0.012189812799303439</v>
      </c>
      <c r="F17" s="31">
        <v>238</v>
      </c>
      <c r="G17" s="32">
        <v>0.008116772389332241</v>
      </c>
      <c r="H17" s="77">
        <v>0.007069058011729731</v>
      </c>
      <c r="I17" s="34"/>
      <c r="J17" s="43">
        <f>ROUND(H17,4)</f>
        <v>0.0071</v>
      </c>
      <c r="K17" s="38">
        <f>+J17*$K$5</f>
        <v>4860.5748</v>
      </c>
      <c r="L17" s="12"/>
      <c r="N17" s="46">
        <v>0.0066</v>
      </c>
      <c r="O17" s="41">
        <f>+$O$5*N17</f>
        <v>4469.7642</v>
      </c>
      <c r="P17" s="45"/>
      <c r="Q17" s="46">
        <f>+J17-N17</f>
        <v>0.0005000000000000004</v>
      </c>
      <c r="R17" s="41">
        <f>+K17-O17</f>
        <v>390.8106000000007</v>
      </c>
    </row>
    <row r="18" spans="1:18" ht="12.75">
      <c r="A18" s="14"/>
      <c r="B18" s="31"/>
      <c r="C18" s="32"/>
      <c r="D18" s="31"/>
      <c r="E18" s="32"/>
      <c r="F18" s="31"/>
      <c r="G18" s="32"/>
      <c r="H18" s="77"/>
      <c r="I18" s="33"/>
      <c r="J18" s="43"/>
      <c r="K18" s="38"/>
      <c r="L18" s="12"/>
      <c r="N18" s="44"/>
      <c r="O18" s="13"/>
      <c r="P18" s="15"/>
      <c r="Q18" s="44"/>
      <c r="R18" s="13"/>
    </row>
    <row r="19" spans="1:18" ht="12.75">
      <c r="A19" s="42" t="s">
        <v>12</v>
      </c>
      <c r="B19" s="31">
        <v>180</v>
      </c>
      <c r="C19" s="32">
        <v>0.012469691721510218</v>
      </c>
      <c r="D19" s="31">
        <v>202</v>
      </c>
      <c r="E19" s="32">
        <v>0.04397039616891598</v>
      </c>
      <c r="F19" s="31">
        <v>1070</v>
      </c>
      <c r="G19" s="32">
        <v>0.03649137166632563</v>
      </c>
      <c r="H19" s="77">
        <v>0.030977153185583944</v>
      </c>
      <c r="I19" s="34"/>
      <c r="J19" s="43">
        <f>ROUND(H19,4)</f>
        <v>0.031</v>
      </c>
      <c r="K19" s="38">
        <f>+J19*$K$5</f>
        <v>21222.228</v>
      </c>
      <c r="L19" s="12"/>
      <c r="N19" s="46">
        <v>0.0338</v>
      </c>
      <c r="O19" s="41">
        <f>+$O$5*N19</f>
        <v>22890.610599999996</v>
      </c>
      <c r="P19" s="15"/>
      <c r="Q19" s="46">
        <f>+J19-N19</f>
        <v>-0.002799999999999997</v>
      </c>
      <c r="R19" s="41">
        <f>+K19-O19</f>
        <v>-1668.3825999999972</v>
      </c>
    </row>
    <row r="20" spans="1:18" ht="12.75">
      <c r="A20" s="47"/>
      <c r="B20" s="31"/>
      <c r="C20" s="32"/>
      <c r="D20" s="31"/>
      <c r="E20" s="32"/>
      <c r="F20" s="31"/>
      <c r="G20" s="32"/>
      <c r="H20" s="77"/>
      <c r="I20" s="33"/>
      <c r="J20" s="43"/>
      <c r="K20" s="38"/>
      <c r="L20" s="12"/>
      <c r="N20" s="44"/>
      <c r="O20" s="13"/>
      <c r="P20" s="15"/>
      <c r="Q20" s="44"/>
      <c r="R20" s="13"/>
    </row>
    <row r="21" spans="1:18" ht="12.75">
      <c r="A21" s="42" t="s">
        <v>27</v>
      </c>
      <c r="B21" s="31">
        <v>3220</v>
      </c>
      <c r="C21" s="32">
        <v>0.22306892968479392</v>
      </c>
      <c r="D21" s="31">
        <v>944</v>
      </c>
      <c r="E21" s="32">
        <v>0.20548541575968654</v>
      </c>
      <c r="F21" s="31">
        <v>5866</v>
      </c>
      <c r="G21" s="32">
        <v>0.20005456653707115</v>
      </c>
      <c r="H21" s="77">
        <v>0.20953630399385056</v>
      </c>
      <c r="I21" s="34"/>
      <c r="J21" s="43">
        <f>ROUND(H21,4)</f>
        <v>0.2095</v>
      </c>
      <c r="K21" s="38">
        <f>+J21*$K$5</f>
        <v>143421.186</v>
      </c>
      <c r="L21" s="12"/>
      <c r="N21" s="46">
        <v>0.1827</v>
      </c>
      <c r="O21" s="41">
        <f>+$O$5*N21</f>
        <v>123731.1999</v>
      </c>
      <c r="P21" s="45"/>
      <c r="Q21" s="46">
        <f>+J21-N21</f>
        <v>0.02679999999999999</v>
      </c>
      <c r="R21" s="41">
        <f>+K21-O21</f>
        <v>19689.98609999998</v>
      </c>
    </row>
    <row r="22" spans="1:18" ht="12.75">
      <c r="A22" s="14"/>
      <c r="B22" s="31"/>
      <c r="C22" s="32"/>
      <c r="D22" s="31"/>
      <c r="E22" s="32"/>
      <c r="F22" s="31"/>
      <c r="G22" s="32"/>
      <c r="H22" s="77"/>
      <c r="I22" s="33"/>
      <c r="J22" s="43"/>
      <c r="K22" s="38"/>
      <c r="L22" s="12"/>
      <c r="N22" s="44"/>
      <c r="O22" s="13"/>
      <c r="P22" s="15"/>
      <c r="Q22" s="44"/>
      <c r="R22" s="13"/>
    </row>
    <row r="23" spans="1:18" ht="12.75">
      <c r="A23" s="42" t="s">
        <v>197</v>
      </c>
      <c r="B23" s="31">
        <v>471</v>
      </c>
      <c r="C23" s="32">
        <v>0.03262902667128507</v>
      </c>
      <c r="D23" s="31">
        <v>409</v>
      </c>
      <c r="E23" s="32">
        <v>0.0890291684806269</v>
      </c>
      <c r="F23" s="31">
        <v>3412</v>
      </c>
      <c r="G23" s="32">
        <v>0.11636314030420844</v>
      </c>
      <c r="H23" s="77">
        <v>0.07934044515204014</v>
      </c>
      <c r="I23" s="34"/>
      <c r="J23" s="43">
        <f>ROUND(H23,4)</f>
        <v>0.0793</v>
      </c>
      <c r="K23" s="38">
        <f>+J23*$K$5</f>
        <v>54287.8284</v>
      </c>
      <c r="L23" s="12"/>
      <c r="N23" s="46">
        <v>0.0817</v>
      </c>
      <c r="O23" s="41">
        <f>+$O$5*N23</f>
        <v>55330.262899999994</v>
      </c>
      <c r="P23" s="45"/>
      <c r="Q23" s="46">
        <f>+J23-N23</f>
        <v>-0.0023999999999999994</v>
      </c>
      <c r="R23" s="41">
        <f>+K23-O23</f>
        <v>-1042.4344999999958</v>
      </c>
    </row>
    <row r="24" spans="1:18" ht="13.5" thickBot="1">
      <c r="A24" s="81"/>
      <c r="B24" s="53"/>
      <c r="C24" s="54"/>
      <c r="D24" s="53"/>
      <c r="E24" s="54"/>
      <c r="F24" s="53"/>
      <c r="G24" s="54"/>
      <c r="H24" s="82"/>
      <c r="I24" s="82"/>
      <c r="J24" s="83"/>
      <c r="K24" s="79"/>
      <c r="L24" s="18"/>
      <c r="N24" s="84"/>
      <c r="O24" s="85"/>
      <c r="P24" s="86"/>
      <c r="Q24" s="84"/>
      <c r="R24" s="85"/>
    </row>
    <row r="25" spans="6:11" ht="13.5" thickBot="1">
      <c r="F25" s="9"/>
      <c r="J25" s="55"/>
      <c r="K25" s="56"/>
    </row>
    <row r="26" spans="1:18" ht="13.5" thickBot="1">
      <c r="A26" s="57" t="s">
        <v>308</v>
      </c>
      <c r="B26" s="58"/>
      <c r="C26" s="59"/>
      <c r="D26" s="58"/>
      <c r="E26" s="59"/>
      <c r="F26" s="58"/>
      <c r="G26" s="59"/>
      <c r="H26" s="60"/>
      <c r="I26" s="60"/>
      <c r="J26" s="61"/>
      <c r="K26" s="62">
        <v>-7742</v>
      </c>
      <c r="N26" s="63"/>
      <c r="O26" s="62">
        <f>-5427-700</f>
        <v>-6127</v>
      </c>
      <c r="P26" s="64"/>
      <c r="Q26" s="63"/>
      <c r="R26" s="65">
        <f>+K26-O26</f>
        <v>-1615</v>
      </c>
    </row>
    <row r="27" spans="1:18" ht="13.5" thickBot="1">
      <c r="A27" s="66"/>
      <c r="B27" s="31"/>
      <c r="C27" s="32"/>
      <c r="D27" s="31"/>
      <c r="E27" s="32"/>
      <c r="F27" s="31"/>
      <c r="G27" s="32"/>
      <c r="H27" s="33"/>
      <c r="I27" s="33"/>
      <c r="J27" s="67"/>
      <c r="K27" s="68"/>
      <c r="N27" s="15"/>
      <c r="O27" s="68"/>
      <c r="P27" s="15"/>
      <c r="Q27" s="15"/>
      <c r="R27" s="69"/>
    </row>
    <row r="28" spans="1:8" ht="12.75">
      <c r="A28" s="87" t="s">
        <v>306</v>
      </c>
      <c r="B28" s="31" t="s">
        <v>2</v>
      </c>
      <c r="C28" s="32" t="s">
        <v>200</v>
      </c>
      <c r="D28" s="31" t="s">
        <v>117</v>
      </c>
      <c r="E28" s="32" t="s">
        <v>200</v>
      </c>
      <c r="F28" s="31" t="s">
        <v>117</v>
      </c>
      <c r="G28" s="32" t="s">
        <v>200</v>
      </c>
      <c r="H28" s="34" t="s">
        <v>202</v>
      </c>
    </row>
    <row r="29" spans="1:8" ht="13.5" thickBot="1">
      <c r="A29" s="88" t="s">
        <v>1</v>
      </c>
      <c r="B29" s="36" t="s">
        <v>3</v>
      </c>
      <c r="C29" s="32" t="s">
        <v>152</v>
      </c>
      <c r="D29" s="36" t="s">
        <v>118</v>
      </c>
      <c r="E29" s="32" t="s">
        <v>152</v>
      </c>
      <c r="F29" s="36" t="s">
        <v>163</v>
      </c>
      <c r="G29" s="32" t="s">
        <v>152</v>
      </c>
      <c r="H29" s="34" t="s">
        <v>201</v>
      </c>
    </row>
    <row r="30" spans="1:8" ht="12.75">
      <c r="A30" s="89"/>
      <c r="B30" s="27"/>
      <c r="C30" s="28"/>
      <c r="D30" s="27"/>
      <c r="E30" s="28"/>
      <c r="F30" s="27"/>
      <c r="G30" s="28"/>
      <c r="H30" s="72"/>
    </row>
    <row r="31" spans="1:256" s="15" customFormat="1" ht="12.75">
      <c r="A31" s="90" t="s">
        <v>244</v>
      </c>
      <c r="B31" s="31">
        <v>1773</v>
      </c>
      <c r="C31" s="32">
        <v>0.12667000071443882</v>
      </c>
      <c r="D31" s="31">
        <v>753</v>
      </c>
      <c r="E31" s="32">
        <v>0.14372971941210155</v>
      </c>
      <c r="F31" s="31">
        <v>3134</v>
      </c>
      <c r="G31" s="32">
        <v>0.10864967932050615</v>
      </c>
      <c r="H31" s="73">
        <v>0.12634979981568217</v>
      </c>
      <c r="I31" s="45"/>
      <c r="J31" s="31"/>
      <c r="K31" s="32"/>
      <c r="L31" s="31"/>
      <c r="M31" s="32"/>
      <c r="N31" s="31"/>
      <c r="O31" s="32"/>
      <c r="P31" s="34"/>
      <c r="Q31" s="45"/>
      <c r="R31" s="31"/>
      <c r="S31" s="32"/>
      <c r="T31" s="31"/>
      <c r="U31" s="32"/>
      <c r="V31" s="31"/>
      <c r="W31" s="32"/>
      <c r="X31" s="34"/>
      <c r="Y31" s="45"/>
      <c r="Z31" s="31"/>
      <c r="AA31" s="32"/>
      <c r="AB31" s="31"/>
      <c r="AC31" s="32"/>
      <c r="AD31" s="31"/>
      <c r="AE31" s="32"/>
      <c r="AF31" s="34"/>
      <c r="AG31" s="45"/>
      <c r="AH31" s="31"/>
      <c r="AI31" s="32"/>
      <c r="AJ31" s="31"/>
      <c r="AK31" s="32"/>
      <c r="AL31" s="31"/>
      <c r="AM31" s="32"/>
      <c r="AN31" s="34"/>
      <c r="AO31" s="45"/>
      <c r="AP31" s="31"/>
      <c r="AQ31" s="32"/>
      <c r="AR31" s="31"/>
      <c r="AS31" s="32"/>
      <c r="AT31" s="31"/>
      <c r="AU31" s="32"/>
      <c r="AV31" s="34"/>
      <c r="AW31" s="45"/>
      <c r="AX31" s="31"/>
      <c r="AY31" s="32"/>
      <c r="AZ31" s="31"/>
      <c r="BA31" s="32"/>
      <c r="BB31" s="31"/>
      <c r="BC31" s="32"/>
      <c r="BD31" s="34"/>
      <c r="BE31" s="45"/>
      <c r="BF31" s="31"/>
      <c r="BG31" s="32"/>
      <c r="BH31" s="31"/>
      <c r="BI31" s="32"/>
      <c r="BJ31" s="31"/>
      <c r="BK31" s="32"/>
      <c r="BL31" s="34"/>
      <c r="BM31" s="45"/>
      <c r="BN31" s="31"/>
      <c r="BO31" s="32"/>
      <c r="BP31" s="31"/>
      <c r="BQ31" s="32"/>
      <c r="BR31" s="31"/>
      <c r="BS31" s="32"/>
      <c r="BT31" s="34"/>
      <c r="BU31" s="45"/>
      <c r="BV31" s="31"/>
      <c r="BW31" s="32"/>
      <c r="BX31" s="31"/>
      <c r="BY31" s="32"/>
      <c r="BZ31" s="31"/>
      <c r="CA31" s="32"/>
      <c r="CB31" s="34"/>
      <c r="CC31" s="45"/>
      <c r="CD31" s="31"/>
      <c r="CE31" s="32"/>
      <c r="CF31" s="31"/>
      <c r="CG31" s="32"/>
      <c r="CH31" s="31"/>
      <c r="CI31" s="32"/>
      <c r="CJ31" s="34"/>
      <c r="CK31" s="45"/>
      <c r="CL31" s="31"/>
      <c r="CM31" s="32"/>
      <c r="CN31" s="31"/>
      <c r="CO31" s="32"/>
      <c r="CP31" s="31"/>
      <c r="CQ31" s="32"/>
      <c r="CR31" s="34"/>
      <c r="CS31" s="45"/>
      <c r="CT31" s="31"/>
      <c r="CU31" s="32"/>
      <c r="CV31" s="31"/>
      <c r="CW31" s="32"/>
      <c r="CX31" s="31"/>
      <c r="CY31" s="32"/>
      <c r="CZ31" s="34"/>
      <c r="DA31" s="45"/>
      <c r="DB31" s="31"/>
      <c r="DC31" s="32"/>
      <c r="DD31" s="31"/>
      <c r="DE31" s="32"/>
      <c r="DF31" s="31"/>
      <c r="DG31" s="32"/>
      <c r="DH31" s="34"/>
      <c r="DI31" s="45"/>
      <c r="DJ31" s="31"/>
      <c r="DK31" s="32"/>
      <c r="DL31" s="31"/>
      <c r="DM31" s="32"/>
      <c r="DN31" s="31"/>
      <c r="DO31" s="32"/>
      <c r="DP31" s="34"/>
      <c r="DQ31" s="45"/>
      <c r="DR31" s="31"/>
      <c r="DS31" s="32"/>
      <c r="DT31" s="31"/>
      <c r="DU31" s="32"/>
      <c r="DV31" s="31"/>
      <c r="DW31" s="32"/>
      <c r="DX31" s="34"/>
      <c r="DY31" s="45"/>
      <c r="DZ31" s="31"/>
      <c r="EA31" s="32"/>
      <c r="EB31" s="31"/>
      <c r="EC31" s="32"/>
      <c r="ED31" s="31"/>
      <c r="EE31" s="32"/>
      <c r="EF31" s="34"/>
      <c r="EG31" s="45"/>
      <c r="EH31" s="31"/>
      <c r="EI31" s="32"/>
      <c r="EJ31" s="31"/>
      <c r="EK31" s="32"/>
      <c r="EL31" s="31"/>
      <c r="EM31" s="32"/>
      <c r="EN31" s="34"/>
      <c r="EO31" s="45"/>
      <c r="EP31" s="31"/>
      <c r="EQ31" s="32"/>
      <c r="ER31" s="31"/>
      <c r="ES31" s="32"/>
      <c r="ET31" s="31"/>
      <c r="EU31" s="32"/>
      <c r="EV31" s="34"/>
      <c r="EW31" s="45"/>
      <c r="EX31" s="31"/>
      <c r="EY31" s="32"/>
      <c r="EZ31" s="31"/>
      <c r="FA31" s="32"/>
      <c r="FB31" s="31"/>
      <c r="FC31" s="32"/>
      <c r="FD31" s="34"/>
      <c r="FE31" s="45"/>
      <c r="FF31" s="31"/>
      <c r="FG31" s="32"/>
      <c r="FH31" s="31"/>
      <c r="FI31" s="32"/>
      <c r="FJ31" s="31"/>
      <c r="FK31" s="32"/>
      <c r="FL31" s="34"/>
      <c r="FM31" s="45"/>
      <c r="FN31" s="31"/>
      <c r="FO31" s="32"/>
      <c r="FP31" s="31"/>
      <c r="FQ31" s="32"/>
      <c r="FR31" s="31"/>
      <c r="FS31" s="32"/>
      <c r="FT31" s="34"/>
      <c r="FU31" s="45"/>
      <c r="FV31" s="31"/>
      <c r="FW31" s="32"/>
      <c r="FX31" s="31"/>
      <c r="FY31" s="32"/>
      <c r="FZ31" s="31"/>
      <c r="GA31" s="32"/>
      <c r="GB31" s="34"/>
      <c r="GC31" s="45"/>
      <c r="GD31" s="31"/>
      <c r="GE31" s="32"/>
      <c r="GF31" s="31"/>
      <c r="GG31" s="32"/>
      <c r="GH31" s="31"/>
      <c r="GI31" s="32"/>
      <c r="GJ31" s="34"/>
      <c r="GK31" s="45"/>
      <c r="GL31" s="31"/>
      <c r="GM31" s="32"/>
      <c r="GN31" s="31"/>
      <c r="GO31" s="32"/>
      <c r="GP31" s="31"/>
      <c r="GQ31" s="32"/>
      <c r="GR31" s="34"/>
      <c r="GS31" s="45"/>
      <c r="GT31" s="31"/>
      <c r="GU31" s="32"/>
      <c r="GV31" s="31"/>
      <c r="GW31" s="32"/>
      <c r="GX31" s="31"/>
      <c r="GY31" s="32"/>
      <c r="GZ31" s="34"/>
      <c r="HA31" s="45"/>
      <c r="HB31" s="31"/>
      <c r="HC31" s="32"/>
      <c r="HD31" s="31"/>
      <c r="HE31" s="32"/>
      <c r="HF31" s="31"/>
      <c r="HG31" s="32"/>
      <c r="HH31" s="34"/>
      <c r="HI31" s="45"/>
      <c r="HJ31" s="31"/>
      <c r="HK31" s="32"/>
      <c r="HL31" s="31"/>
      <c r="HM31" s="32"/>
      <c r="HN31" s="31"/>
      <c r="HO31" s="32"/>
      <c r="HP31" s="34"/>
      <c r="HQ31" s="45"/>
      <c r="HR31" s="31"/>
      <c r="HS31" s="32"/>
      <c r="HT31" s="31"/>
      <c r="HU31" s="32"/>
      <c r="HV31" s="31"/>
      <c r="HW31" s="32"/>
      <c r="HX31" s="34"/>
      <c r="HY31" s="45"/>
      <c r="HZ31" s="31"/>
      <c r="IA31" s="32"/>
      <c r="IB31" s="31"/>
      <c r="IC31" s="32"/>
      <c r="ID31" s="31"/>
      <c r="IE31" s="32"/>
      <c r="IF31" s="34"/>
      <c r="IG31" s="45"/>
      <c r="IH31" s="31"/>
      <c r="II31" s="32"/>
      <c r="IJ31" s="31"/>
      <c r="IK31" s="32"/>
      <c r="IL31" s="31"/>
      <c r="IM31" s="32"/>
      <c r="IN31" s="34"/>
      <c r="IO31" s="45"/>
      <c r="IP31" s="31"/>
      <c r="IQ31" s="32"/>
      <c r="IR31" s="31"/>
      <c r="IS31" s="32"/>
      <c r="IT31" s="31"/>
      <c r="IU31" s="32"/>
      <c r="IV31" s="34"/>
    </row>
    <row r="32" spans="1:256" s="15" customFormat="1" ht="12.75">
      <c r="A32" s="90"/>
      <c r="B32" s="31"/>
      <c r="C32" s="32"/>
      <c r="D32" s="31"/>
      <c r="E32" s="32"/>
      <c r="F32" s="31"/>
      <c r="G32" s="32"/>
      <c r="H32" s="73"/>
      <c r="I32" s="45"/>
      <c r="J32" s="31"/>
      <c r="K32" s="32"/>
      <c r="L32" s="31"/>
      <c r="M32" s="32"/>
      <c r="N32" s="31"/>
      <c r="O32" s="32"/>
      <c r="P32" s="34"/>
      <c r="Q32" s="45"/>
      <c r="R32" s="31"/>
      <c r="S32" s="32"/>
      <c r="T32" s="31"/>
      <c r="U32" s="32"/>
      <c r="V32" s="31"/>
      <c r="W32" s="32"/>
      <c r="X32" s="34"/>
      <c r="Y32" s="45"/>
      <c r="Z32" s="31"/>
      <c r="AA32" s="32"/>
      <c r="AB32" s="31"/>
      <c r="AC32" s="32"/>
      <c r="AD32" s="31"/>
      <c r="AE32" s="32"/>
      <c r="AF32" s="34"/>
      <c r="AG32" s="45"/>
      <c r="AH32" s="31"/>
      <c r="AI32" s="32"/>
      <c r="AJ32" s="31"/>
      <c r="AK32" s="32"/>
      <c r="AL32" s="31"/>
      <c r="AM32" s="32"/>
      <c r="AN32" s="34"/>
      <c r="AO32" s="45"/>
      <c r="AP32" s="31"/>
      <c r="AQ32" s="32"/>
      <c r="AR32" s="31"/>
      <c r="AS32" s="32"/>
      <c r="AT32" s="31"/>
      <c r="AU32" s="32"/>
      <c r="AV32" s="34"/>
      <c r="AW32" s="45"/>
      <c r="AX32" s="31"/>
      <c r="AY32" s="32"/>
      <c r="AZ32" s="31"/>
      <c r="BA32" s="32"/>
      <c r="BB32" s="31"/>
      <c r="BC32" s="32"/>
      <c r="BD32" s="34"/>
      <c r="BE32" s="45"/>
      <c r="BF32" s="31"/>
      <c r="BG32" s="32"/>
      <c r="BH32" s="31"/>
      <c r="BI32" s="32"/>
      <c r="BJ32" s="31"/>
      <c r="BK32" s="32"/>
      <c r="BL32" s="34"/>
      <c r="BM32" s="45"/>
      <c r="BN32" s="31"/>
      <c r="BO32" s="32"/>
      <c r="BP32" s="31"/>
      <c r="BQ32" s="32"/>
      <c r="BR32" s="31"/>
      <c r="BS32" s="32"/>
      <c r="BT32" s="34"/>
      <c r="BU32" s="45"/>
      <c r="BV32" s="31"/>
      <c r="BW32" s="32"/>
      <c r="BX32" s="31"/>
      <c r="BY32" s="32"/>
      <c r="BZ32" s="31"/>
      <c r="CA32" s="32"/>
      <c r="CB32" s="34"/>
      <c r="CC32" s="45"/>
      <c r="CD32" s="31"/>
      <c r="CE32" s="32"/>
      <c r="CF32" s="31"/>
      <c r="CG32" s="32"/>
      <c r="CH32" s="31"/>
      <c r="CI32" s="32"/>
      <c r="CJ32" s="34"/>
      <c r="CK32" s="45"/>
      <c r="CL32" s="31"/>
      <c r="CM32" s="32"/>
      <c r="CN32" s="31"/>
      <c r="CO32" s="32"/>
      <c r="CP32" s="31"/>
      <c r="CQ32" s="32"/>
      <c r="CR32" s="34"/>
      <c r="CS32" s="45"/>
      <c r="CT32" s="31"/>
      <c r="CU32" s="32"/>
      <c r="CV32" s="31"/>
      <c r="CW32" s="32"/>
      <c r="CX32" s="31"/>
      <c r="CY32" s="32"/>
      <c r="CZ32" s="34"/>
      <c r="DA32" s="45"/>
      <c r="DB32" s="31"/>
      <c r="DC32" s="32"/>
      <c r="DD32" s="31"/>
      <c r="DE32" s="32"/>
      <c r="DF32" s="31"/>
      <c r="DG32" s="32"/>
      <c r="DH32" s="34"/>
      <c r="DI32" s="45"/>
      <c r="DJ32" s="31"/>
      <c r="DK32" s="32"/>
      <c r="DL32" s="31"/>
      <c r="DM32" s="32"/>
      <c r="DN32" s="31"/>
      <c r="DO32" s="32"/>
      <c r="DP32" s="34"/>
      <c r="DQ32" s="45"/>
      <c r="DR32" s="31"/>
      <c r="DS32" s="32"/>
      <c r="DT32" s="31"/>
      <c r="DU32" s="32"/>
      <c r="DV32" s="31"/>
      <c r="DW32" s="32"/>
      <c r="DX32" s="34"/>
      <c r="DY32" s="45"/>
      <c r="DZ32" s="31"/>
      <c r="EA32" s="32"/>
      <c r="EB32" s="31"/>
      <c r="EC32" s="32"/>
      <c r="ED32" s="31"/>
      <c r="EE32" s="32"/>
      <c r="EF32" s="34"/>
      <c r="EG32" s="45"/>
      <c r="EH32" s="31"/>
      <c r="EI32" s="32"/>
      <c r="EJ32" s="31"/>
      <c r="EK32" s="32"/>
      <c r="EL32" s="31"/>
      <c r="EM32" s="32"/>
      <c r="EN32" s="34"/>
      <c r="EO32" s="45"/>
      <c r="EP32" s="31"/>
      <c r="EQ32" s="32"/>
      <c r="ER32" s="31"/>
      <c r="ES32" s="32"/>
      <c r="ET32" s="31"/>
      <c r="EU32" s="32"/>
      <c r="EV32" s="34"/>
      <c r="EW32" s="45"/>
      <c r="EX32" s="31"/>
      <c r="EY32" s="32"/>
      <c r="EZ32" s="31"/>
      <c r="FA32" s="32"/>
      <c r="FB32" s="31"/>
      <c r="FC32" s="32"/>
      <c r="FD32" s="34"/>
      <c r="FE32" s="45"/>
      <c r="FF32" s="31"/>
      <c r="FG32" s="32"/>
      <c r="FH32" s="31"/>
      <c r="FI32" s="32"/>
      <c r="FJ32" s="31"/>
      <c r="FK32" s="32"/>
      <c r="FL32" s="34"/>
      <c r="FM32" s="45"/>
      <c r="FN32" s="31"/>
      <c r="FO32" s="32"/>
      <c r="FP32" s="31"/>
      <c r="FQ32" s="32"/>
      <c r="FR32" s="31"/>
      <c r="FS32" s="32"/>
      <c r="FT32" s="34"/>
      <c r="FU32" s="45"/>
      <c r="FV32" s="31"/>
      <c r="FW32" s="32"/>
      <c r="FX32" s="31"/>
      <c r="FY32" s="32"/>
      <c r="FZ32" s="31"/>
      <c r="GA32" s="32"/>
      <c r="GB32" s="34"/>
      <c r="GC32" s="45"/>
      <c r="GD32" s="31"/>
      <c r="GE32" s="32"/>
      <c r="GF32" s="31"/>
      <c r="GG32" s="32"/>
      <c r="GH32" s="31"/>
      <c r="GI32" s="32"/>
      <c r="GJ32" s="34"/>
      <c r="GK32" s="45"/>
      <c r="GL32" s="31"/>
      <c r="GM32" s="32"/>
      <c r="GN32" s="31"/>
      <c r="GO32" s="32"/>
      <c r="GP32" s="31"/>
      <c r="GQ32" s="32"/>
      <c r="GR32" s="34"/>
      <c r="GS32" s="45"/>
      <c r="GT32" s="31"/>
      <c r="GU32" s="32"/>
      <c r="GV32" s="31"/>
      <c r="GW32" s="32"/>
      <c r="GX32" s="31"/>
      <c r="GY32" s="32"/>
      <c r="GZ32" s="34"/>
      <c r="HA32" s="45"/>
      <c r="HB32" s="31"/>
      <c r="HC32" s="32"/>
      <c r="HD32" s="31"/>
      <c r="HE32" s="32"/>
      <c r="HF32" s="31"/>
      <c r="HG32" s="32"/>
      <c r="HH32" s="34"/>
      <c r="HI32" s="45"/>
      <c r="HJ32" s="31"/>
      <c r="HK32" s="32"/>
      <c r="HL32" s="31"/>
      <c r="HM32" s="32"/>
      <c r="HN32" s="31"/>
      <c r="HO32" s="32"/>
      <c r="HP32" s="34"/>
      <c r="HQ32" s="45"/>
      <c r="HR32" s="31"/>
      <c r="HS32" s="32"/>
      <c r="HT32" s="31"/>
      <c r="HU32" s="32"/>
      <c r="HV32" s="31"/>
      <c r="HW32" s="32"/>
      <c r="HX32" s="34"/>
      <c r="HY32" s="45"/>
      <c r="HZ32" s="31"/>
      <c r="IA32" s="32"/>
      <c r="IB32" s="31"/>
      <c r="IC32" s="32"/>
      <c r="ID32" s="31"/>
      <c r="IE32" s="32"/>
      <c r="IF32" s="34"/>
      <c r="IG32" s="45"/>
      <c r="IH32" s="31"/>
      <c r="II32" s="32"/>
      <c r="IJ32" s="31"/>
      <c r="IK32" s="32"/>
      <c r="IL32" s="31"/>
      <c r="IM32" s="32"/>
      <c r="IN32" s="34"/>
      <c r="IO32" s="45"/>
      <c r="IP32" s="31"/>
      <c r="IQ32" s="32"/>
      <c r="IR32" s="31"/>
      <c r="IS32" s="32"/>
      <c r="IT32" s="31"/>
      <c r="IU32" s="32"/>
      <c r="IV32" s="34"/>
    </row>
    <row r="33" spans="1:256" s="15" customFormat="1" ht="12.75">
      <c r="A33" s="90" t="s">
        <v>307</v>
      </c>
      <c r="B33" s="31">
        <v>11</v>
      </c>
      <c r="C33" s="32">
        <v>0.0007858826891476745</v>
      </c>
      <c r="D33" s="31">
        <v>523</v>
      </c>
      <c r="E33" s="32">
        <v>0.0998282114907425</v>
      </c>
      <c r="F33" s="31">
        <v>816</v>
      </c>
      <c r="G33" s="32">
        <v>0.02828913156526261</v>
      </c>
      <c r="H33" s="73">
        <v>0.04296774191505093</v>
      </c>
      <c r="I33" s="45"/>
      <c r="J33" s="31"/>
      <c r="K33" s="32"/>
      <c r="L33" s="31"/>
      <c r="M33" s="32"/>
      <c r="N33" s="31"/>
      <c r="O33" s="32"/>
      <c r="P33" s="34"/>
      <c r="Q33" s="45"/>
      <c r="R33" s="31"/>
      <c r="S33" s="32"/>
      <c r="T33" s="31"/>
      <c r="U33" s="32"/>
      <c r="V33" s="31"/>
      <c r="W33" s="32"/>
      <c r="X33" s="34"/>
      <c r="Y33" s="45"/>
      <c r="Z33" s="31"/>
      <c r="AA33" s="32"/>
      <c r="AB33" s="31"/>
      <c r="AC33" s="32"/>
      <c r="AD33" s="31"/>
      <c r="AE33" s="32"/>
      <c r="AF33" s="34"/>
      <c r="AG33" s="45"/>
      <c r="AH33" s="31"/>
      <c r="AI33" s="32"/>
      <c r="AJ33" s="31"/>
      <c r="AK33" s="32"/>
      <c r="AL33" s="31"/>
      <c r="AM33" s="32"/>
      <c r="AN33" s="34"/>
      <c r="AO33" s="45"/>
      <c r="AP33" s="31"/>
      <c r="AQ33" s="32"/>
      <c r="AR33" s="31"/>
      <c r="AS33" s="32"/>
      <c r="AT33" s="31"/>
      <c r="AU33" s="32"/>
      <c r="AV33" s="34"/>
      <c r="AW33" s="45"/>
      <c r="AX33" s="31"/>
      <c r="AY33" s="32"/>
      <c r="AZ33" s="31"/>
      <c r="BA33" s="32"/>
      <c r="BB33" s="31"/>
      <c r="BC33" s="32"/>
      <c r="BD33" s="34"/>
      <c r="BE33" s="45"/>
      <c r="BF33" s="31"/>
      <c r="BG33" s="32"/>
      <c r="BH33" s="31"/>
      <c r="BI33" s="32"/>
      <c r="BJ33" s="31"/>
      <c r="BK33" s="32"/>
      <c r="BL33" s="34"/>
      <c r="BM33" s="45"/>
      <c r="BN33" s="31"/>
      <c r="BO33" s="32"/>
      <c r="BP33" s="31"/>
      <c r="BQ33" s="32"/>
      <c r="BR33" s="31"/>
      <c r="BS33" s="32"/>
      <c r="BT33" s="34"/>
      <c r="BU33" s="45"/>
      <c r="BV33" s="31"/>
      <c r="BW33" s="32"/>
      <c r="BX33" s="31"/>
      <c r="BY33" s="32"/>
      <c r="BZ33" s="31"/>
      <c r="CA33" s="32"/>
      <c r="CB33" s="34"/>
      <c r="CC33" s="45"/>
      <c r="CD33" s="31"/>
      <c r="CE33" s="32"/>
      <c r="CF33" s="31"/>
      <c r="CG33" s="32"/>
      <c r="CH33" s="31"/>
      <c r="CI33" s="32"/>
      <c r="CJ33" s="34"/>
      <c r="CK33" s="45"/>
      <c r="CL33" s="31"/>
      <c r="CM33" s="32"/>
      <c r="CN33" s="31"/>
      <c r="CO33" s="32"/>
      <c r="CP33" s="31"/>
      <c r="CQ33" s="32"/>
      <c r="CR33" s="34"/>
      <c r="CS33" s="45"/>
      <c r="CT33" s="31"/>
      <c r="CU33" s="32"/>
      <c r="CV33" s="31"/>
      <c r="CW33" s="32"/>
      <c r="CX33" s="31"/>
      <c r="CY33" s="32"/>
      <c r="CZ33" s="34"/>
      <c r="DA33" s="45"/>
      <c r="DB33" s="31"/>
      <c r="DC33" s="32"/>
      <c r="DD33" s="31"/>
      <c r="DE33" s="32"/>
      <c r="DF33" s="31"/>
      <c r="DG33" s="32"/>
      <c r="DH33" s="34"/>
      <c r="DI33" s="45"/>
      <c r="DJ33" s="31"/>
      <c r="DK33" s="32"/>
      <c r="DL33" s="31"/>
      <c r="DM33" s="32"/>
      <c r="DN33" s="31"/>
      <c r="DO33" s="32"/>
      <c r="DP33" s="34"/>
      <c r="DQ33" s="45"/>
      <c r="DR33" s="31"/>
      <c r="DS33" s="32"/>
      <c r="DT33" s="31"/>
      <c r="DU33" s="32"/>
      <c r="DV33" s="31"/>
      <c r="DW33" s="32"/>
      <c r="DX33" s="34"/>
      <c r="DY33" s="45"/>
      <c r="DZ33" s="31"/>
      <c r="EA33" s="32"/>
      <c r="EB33" s="31"/>
      <c r="EC33" s="32"/>
      <c r="ED33" s="31"/>
      <c r="EE33" s="32"/>
      <c r="EF33" s="34"/>
      <c r="EG33" s="45"/>
      <c r="EH33" s="31"/>
      <c r="EI33" s="32"/>
      <c r="EJ33" s="31"/>
      <c r="EK33" s="32"/>
      <c r="EL33" s="31"/>
      <c r="EM33" s="32"/>
      <c r="EN33" s="34"/>
      <c r="EO33" s="45"/>
      <c r="EP33" s="31"/>
      <c r="EQ33" s="32"/>
      <c r="ER33" s="31"/>
      <c r="ES33" s="32"/>
      <c r="ET33" s="31"/>
      <c r="EU33" s="32"/>
      <c r="EV33" s="34"/>
      <c r="EW33" s="45"/>
      <c r="EX33" s="31"/>
      <c r="EY33" s="32"/>
      <c r="EZ33" s="31"/>
      <c r="FA33" s="32"/>
      <c r="FB33" s="31"/>
      <c r="FC33" s="32"/>
      <c r="FD33" s="34"/>
      <c r="FE33" s="45"/>
      <c r="FF33" s="31"/>
      <c r="FG33" s="32"/>
      <c r="FH33" s="31"/>
      <c r="FI33" s="32"/>
      <c r="FJ33" s="31"/>
      <c r="FK33" s="32"/>
      <c r="FL33" s="34"/>
      <c r="FM33" s="45"/>
      <c r="FN33" s="31"/>
      <c r="FO33" s="32"/>
      <c r="FP33" s="31"/>
      <c r="FQ33" s="32"/>
      <c r="FR33" s="31"/>
      <c r="FS33" s="32"/>
      <c r="FT33" s="34"/>
      <c r="FU33" s="45"/>
      <c r="FV33" s="31"/>
      <c r="FW33" s="32"/>
      <c r="FX33" s="31"/>
      <c r="FY33" s="32"/>
      <c r="FZ33" s="31"/>
      <c r="GA33" s="32"/>
      <c r="GB33" s="34"/>
      <c r="GC33" s="45"/>
      <c r="GD33" s="31"/>
      <c r="GE33" s="32"/>
      <c r="GF33" s="31"/>
      <c r="GG33" s="32"/>
      <c r="GH33" s="31"/>
      <c r="GI33" s="32"/>
      <c r="GJ33" s="34"/>
      <c r="GK33" s="45"/>
      <c r="GL33" s="31"/>
      <c r="GM33" s="32"/>
      <c r="GN33" s="31"/>
      <c r="GO33" s="32"/>
      <c r="GP33" s="31"/>
      <c r="GQ33" s="32"/>
      <c r="GR33" s="34"/>
      <c r="GS33" s="45"/>
      <c r="GT33" s="31"/>
      <c r="GU33" s="32"/>
      <c r="GV33" s="31"/>
      <c r="GW33" s="32"/>
      <c r="GX33" s="31"/>
      <c r="GY33" s="32"/>
      <c r="GZ33" s="34"/>
      <c r="HA33" s="45"/>
      <c r="HB33" s="31"/>
      <c r="HC33" s="32"/>
      <c r="HD33" s="31"/>
      <c r="HE33" s="32"/>
      <c r="HF33" s="31"/>
      <c r="HG33" s="32"/>
      <c r="HH33" s="34"/>
      <c r="HI33" s="45"/>
      <c r="HJ33" s="31"/>
      <c r="HK33" s="32"/>
      <c r="HL33" s="31"/>
      <c r="HM33" s="32"/>
      <c r="HN33" s="31"/>
      <c r="HO33" s="32"/>
      <c r="HP33" s="34"/>
      <c r="HQ33" s="45"/>
      <c r="HR33" s="31"/>
      <c r="HS33" s="32"/>
      <c r="HT33" s="31"/>
      <c r="HU33" s="32"/>
      <c r="HV33" s="31"/>
      <c r="HW33" s="32"/>
      <c r="HX33" s="34"/>
      <c r="HY33" s="45"/>
      <c r="HZ33" s="31"/>
      <c r="IA33" s="32"/>
      <c r="IB33" s="31"/>
      <c r="IC33" s="32"/>
      <c r="ID33" s="31"/>
      <c r="IE33" s="32"/>
      <c r="IF33" s="34"/>
      <c r="IG33" s="45"/>
      <c r="IH33" s="31"/>
      <c r="II33" s="32"/>
      <c r="IJ33" s="31"/>
      <c r="IK33" s="32"/>
      <c r="IL33" s="31"/>
      <c r="IM33" s="32"/>
      <c r="IN33" s="34"/>
      <c r="IO33" s="45"/>
      <c r="IP33" s="31"/>
      <c r="IQ33" s="32"/>
      <c r="IR33" s="31"/>
      <c r="IS33" s="32"/>
      <c r="IT33" s="31"/>
      <c r="IU33" s="32"/>
      <c r="IV33" s="34"/>
    </row>
    <row r="34" spans="1:256" s="15" customFormat="1" ht="12.75">
      <c r="A34" s="91"/>
      <c r="B34" s="31"/>
      <c r="C34" s="32"/>
      <c r="D34" s="31"/>
      <c r="E34" s="32"/>
      <c r="F34" s="31"/>
      <c r="G34" s="32"/>
      <c r="H34" s="73"/>
      <c r="I34" s="74"/>
      <c r="J34" s="31"/>
      <c r="K34" s="32"/>
      <c r="L34" s="31"/>
      <c r="M34" s="32"/>
      <c r="N34" s="31"/>
      <c r="O34" s="32"/>
      <c r="P34" s="34"/>
      <c r="Q34" s="74"/>
      <c r="R34" s="31"/>
      <c r="S34" s="32"/>
      <c r="T34" s="31"/>
      <c r="U34" s="32"/>
      <c r="V34" s="31"/>
      <c r="W34" s="32"/>
      <c r="X34" s="34"/>
      <c r="Y34" s="74"/>
      <c r="Z34" s="31"/>
      <c r="AA34" s="32"/>
      <c r="AB34" s="31"/>
      <c r="AC34" s="32"/>
      <c r="AD34" s="31"/>
      <c r="AE34" s="32"/>
      <c r="AF34" s="34"/>
      <c r="AG34" s="74"/>
      <c r="AH34" s="31"/>
      <c r="AI34" s="32"/>
      <c r="AJ34" s="31"/>
      <c r="AK34" s="32"/>
      <c r="AL34" s="31"/>
      <c r="AM34" s="32"/>
      <c r="AN34" s="34"/>
      <c r="AO34" s="74"/>
      <c r="AP34" s="31"/>
      <c r="AQ34" s="32"/>
      <c r="AR34" s="31"/>
      <c r="AS34" s="32"/>
      <c r="AT34" s="31"/>
      <c r="AU34" s="32"/>
      <c r="AV34" s="34"/>
      <c r="AW34" s="74"/>
      <c r="AX34" s="31"/>
      <c r="AY34" s="32"/>
      <c r="AZ34" s="31"/>
      <c r="BA34" s="32"/>
      <c r="BB34" s="31"/>
      <c r="BC34" s="32"/>
      <c r="BD34" s="34"/>
      <c r="BE34" s="74"/>
      <c r="BF34" s="31"/>
      <c r="BG34" s="32"/>
      <c r="BH34" s="31"/>
      <c r="BI34" s="32"/>
      <c r="BJ34" s="31"/>
      <c r="BK34" s="32"/>
      <c r="BL34" s="34"/>
      <c r="BM34" s="74"/>
      <c r="BN34" s="31"/>
      <c r="BO34" s="32"/>
      <c r="BP34" s="31"/>
      <c r="BQ34" s="32"/>
      <c r="BR34" s="31"/>
      <c r="BS34" s="32"/>
      <c r="BT34" s="34"/>
      <c r="BU34" s="74"/>
      <c r="BV34" s="31"/>
      <c r="BW34" s="32"/>
      <c r="BX34" s="31"/>
      <c r="BY34" s="32"/>
      <c r="BZ34" s="31"/>
      <c r="CA34" s="32"/>
      <c r="CB34" s="34"/>
      <c r="CC34" s="74"/>
      <c r="CD34" s="31"/>
      <c r="CE34" s="32"/>
      <c r="CF34" s="31"/>
      <c r="CG34" s="32"/>
      <c r="CH34" s="31"/>
      <c r="CI34" s="32"/>
      <c r="CJ34" s="34"/>
      <c r="CK34" s="74"/>
      <c r="CL34" s="31"/>
      <c r="CM34" s="32"/>
      <c r="CN34" s="31"/>
      <c r="CO34" s="32"/>
      <c r="CP34" s="31"/>
      <c r="CQ34" s="32"/>
      <c r="CR34" s="34"/>
      <c r="CS34" s="74"/>
      <c r="CT34" s="31"/>
      <c r="CU34" s="32"/>
      <c r="CV34" s="31"/>
      <c r="CW34" s="32"/>
      <c r="CX34" s="31"/>
      <c r="CY34" s="32"/>
      <c r="CZ34" s="34"/>
      <c r="DA34" s="74"/>
      <c r="DB34" s="31"/>
      <c r="DC34" s="32"/>
      <c r="DD34" s="31"/>
      <c r="DE34" s="32"/>
      <c r="DF34" s="31"/>
      <c r="DG34" s="32"/>
      <c r="DH34" s="34"/>
      <c r="DI34" s="74"/>
      <c r="DJ34" s="31"/>
      <c r="DK34" s="32"/>
      <c r="DL34" s="31"/>
      <c r="DM34" s="32"/>
      <c r="DN34" s="31"/>
      <c r="DO34" s="32"/>
      <c r="DP34" s="34"/>
      <c r="DQ34" s="74"/>
      <c r="DR34" s="31"/>
      <c r="DS34" s="32"/>
      <c r="DT34" s="31"/>
      <c r="DU34" s="32"/>
      <c r="DV34" s="31"/>
      <c r="DW34" s="32"/>
      <c r="DX34" s="34"/>
      <c r="DY34" s="74"/>
      <c r="DZ34" s="31"/>
      <c r="EA34" s="32"/>
      <c r="EB34" s="31"/>
      <c r="EC34" s="32"/>
      <c r="ED34" s="31"/>
      <c r="EE34" s="32"/>
      <c r="EF34" s="34"/>
      <c r="EG34" s="74"/>
      <c r="EH34" s="31"/>
      <c r="EI34" s="32"/>
      <c r="EJ34" s="31"/>
      <c r="EK34" s="32"/>
      <c r="EL34" s="31"/>
      <c r="EM34" s="32"/>
      <c r="EN34" s="34"/>
      <c r="EO34" s="74"/>
      <c r="EP34" s="31"/>
      <c r="EQ34" s="32"/>
      <c r="ER34" s="31"/>
      <c r="ES34" s="32"/>
      <c r="ET34" s="31"/>
      <c r="EU34" s="32"/>
      <c r="EV34" s="34"/>
      <c r="EW34" s="74"/>
      <c r="EX34" s="31"/>
      <c r="EY34" s="32"/>
      <c r="EZ34" s="31"/>
      <c r="FA34" s="32"/>
      <c r="FB34" s="31"/>
      <c r="FC34" s="32"/>
      <c r="FD34" s="34"/>
      <c r="FE34" s="74"/>
      <c r="FF34" s="31"/>
      <c r="FG34" s="32"/>
      <c r="FH34" s="31"/>
      <c r="FI34" s="32"/>
      <c r="FJ34" s="31"/>
      <c r="FK34" s="32"/>
      <c r="FL34" s="34"/>
      <c r="FM34" s="74"/>
      <c r="FN34" s="31"/>
      <c r="FO34" s="32"/>
      <c r="FP34" s="31"/>
      <c r="FQ34" s="32"/>
      <c r="FR34" s="31"/>
      <c r="FS34" s="32"/>
      <c r="FT34" s="34"/>
      <c r="FU34" s="74"/>
      <c r="FV34" s="31"/>
      <c r="FW34" s="32"/>
      <c r="FX34" s="31"/>
      <c r="FY34" s="32"/>
      <c r="FZ34" s="31"/>
      <c r="GA34" s="32"/>
      <c r="GB34" s="34"/>
      <c r="GC34" s="74"/>
      <c r="GD34" s="31"/>
      <c r="GE34" s="32"/>
      <c r="GF34" s="31"/>
      <c r="GG34" s="32"/>
      <c r="GH34" s="31"/>
      <c r="GI34" s="32"/>
      <c r="GJ34" s="34"/>
      <c r="GK34" s="74"/>
      <c r="GL34" s="31"/>
      <c r="GM34" s="32"/>
      <c r="GN34" s="31"/>
      <c r="GO34" s="32"/>
      <c r="GP34" s="31"/>
      <c r="GQ34" s="32"/>
      <c r="GR34" s="34"/>
      <c r="GS34" s="74"/>
      <c r="GT34" s="31"/>
      <c r="GU34" s="32"/>
      <c r="GV34" s="31"/>
      <c r="GW34" s="32"/>
      <c r="GX34" s="31"/>
      <c r="GY34" s="32"/>
      <c r="GZ34" s="34"/>
      <c r="HA34" s="74"/>
      <c r="HB34" s="31"/>
      <c r="HC34" s="32"/>
      <c r="HD34" s="31"/>
      <c r="HE34" s="32"/>
      <c r="HF34" s="31"/>
      <c r="HG34" s="32"/>
      <c r="HH34" s="34"/>
      <c r="HI34" s="74"/>
      <c r="HJ34" s="31"/>
      <c r="HK34" s="32"/>
      <c r="HL34" s="31"/>
      <c r="HM34" s="32"/>
      <c r="HN34" s="31"/>
      <c r="HO34" s="32"/>
      <c r="HP34" s="34"/>
      <c r="HQ34" s="74"/>
      <c r="HR34" s="31"/>
      <c r="HS34" s="32"/>
      <c r="HT34" s="31"/>
      <c r="HU34" s="32"/>
      <c r="HV34" s="31"/>
      <c r="HW34" s="32"/>
      <c r="HX34" s="34"/>
      <c r="HY34" s="74"/>
      <c r="HZ34" s="31"/>
      <c r="IA34" s="32"/>
      <c r="IB34" s="31"/>
      <c r="IC34" s="32"/>
      <c r="ID34" s="31"/>
      <c r="IE34" s="32"/>
      <c r="IF34" s="34"/>
      <c r="IG34" s="74"/>
      <c r="IH34" s="31"/>
      <c r="II34" s="32"/>
      <c r="IJ34" s="31"/>
      <c r="IK34" s="32"/>
      <c r="IL34" s="31"/>
      <c r="IM34" s="32"/>
      <c r="IN34" s="34"/>
      <c r="IO34" s="74"/>
      <c r="IP34" s="31"/>
      <c r="IQ34" s="32"/>
      <c r="IR34" s="31"/>
      <c r="IS34" s="32"/>
      <c r="IT34" s="31"/>
      <c r="IU34" s="32"/>
      <c r="IV34" s="34"/>
    </row>
    <row r="35" spans="1:256" s="15" customFormat="1" ht="12.75">
      <c r="A35" s="90" t="s">
        <v>6</v>
      </c>
      <c r="B35" s="31">
        <v>1851</v>
      </c>
      <c r="C35" s="32">
        <v>0.13224262341930412</v>
      </c>
      <c r="D35" s="31">
        <v>539</v>
      </c>
      <c r="E35" s="32">
        <v>0.10288222943309792</v>
      </c>
      <c r="F35" s="31">
        <v>3160</v>
      </c>
      <c r="G35" s="32">
        <v>0.10955104870861501</v>
      </c>
      <c r="H35" s="73">
        <v>0.11489196718700567</v>
      </c>
      <c r="I35" s="45"/>
      <c r="J35" s="31"/>
      <c r="K35" s="32"/>
      <c r="L35" s="31"/>
      <c r="M35" s="32"/>
      <c r="N35" s="31"/>
      <c r="O35" s="32"/>
      <c r="P35" s="34"/>
      <c r="Q35" s="45"/>
      <c r="R35" s="31"/>
      <c r="S35" s="32"/>
      <c r="T35" s="31"/>
      <c r="U35" s="32"/>
      <c r="V35" s="31"/>
      <c r="W35" s="32"/>
      <c r="X35" s="34"/>
      <c r="Y35" s="45"/>
      <c r="Z35" s="31"/>
      <c r="AA35" s="32"/>
      <c r="AB35" s="31"/>
      <c r="AC35" s="32"/>
      <c r="AD35" s="31"/>
      <c r="AE35" s="32"/>
      <c r="AF35" s="34"/>
      <c r="AG35" s="45"/>
      <c r="AH35" s="31"/>
      <c r="AI35" s="32"/>
      <c r="AJ35" s="31"/>
      <c r="AK35" s="32"/>
      <c r="AL35" s="31"/>
      <c r="AM35" s="32"/>
      <c r="AN35" s="34"/>
      <c r="AO35" s="45"/>
      <c r="AP35" s="31"/>
      <c r="AQ35" s="32"/>
      <c r="AR35" s="31"/>
      <c r="AS35" s="32"/>
      <c r="AT35" s="31"/>
      <c r="AU35" s="32"/>
      <c r="AV35" s="34"/>
      <c r="AW35" s="45"/>
      <c r="AX35" s="31"/>
      <c r="AY35" s="32"/>
      <c r="AZ35" s="31"/>
      <c r="BA35" s="32"/>
      <c r="BB35" s="31"/>
      <c r="BC35" s="32"/>
      <c r="BD35" s="34"/>
      <c r="BE35" s="45"/>
      <c r="BF35" s="31"/>
      <c r="BG35" s="32"/>
      <c r="BH35" s="31"/>
      <c r="BI35" s="32"/>
      <c r="BJ35" s="31"/>
      <c r="BK35" s="32"/>
      <c r="BL35" s="34"/>
      <c r="BM35" s="45"/>
      <c r="BN35" s="31"/>
      <c r="BO35" s="32"/>
      <c r="BP35" s="31"/>
      <c r="BQ35" s="32"/>
      <c r="BR35" s="31"/>
      <c r="BS35" s="32"/>
      <c r="BT35" s="34"/>
      <c r="BU35" s="45"/>
      <c r="BV35" s="31"/>
      <c r="BW35" s="32"/>
      <c r="BX35" s="31"/>
      <c r="BY35" s="32"/>
      <c r="BZ35" s="31"/>
      <c r="CA35" s="32"/>
      <c r="CB35" s="34"/>
      <c r="CC35" s="45"/>
      <c r="CD35" s="31"/>
      <c r="CE35" s="32"/>
      <c r="CF35" s="31"/>
      <c r="CG35" s="32"/>
      <c r="CH35" s="31"/>
      <c r="CI35" s="32"/>
      <c r="CJ35" s="34"/>
      <c r="CK35" s="45"/>
      <c r="CL35" s="31"/>
      <c r="CM35" s="32"/>
      <c r="CN35" s="31"/>
      <c r="CO35" s="32"/>
      <c r="CP35" s="31"/>
      <c r="CQ35" s="32"/>
      <c r="CR35" s="34"/>
      <c r="CS35" s="45"/>
      <c r="CT35" s="31"/>
      <c r="CU35" s="32"/>
      <c r="CV35" s="31"/>
      <c r="CW35" s="32"/>
      <c r="CX35" s="31"/>
      <c r="CY35" s="32"/>
      <c r="CZ35" s="34"/>
      <c r="DA35" s="45"/>
      <c r="DB35" s="31"/>
      <c r="DC35" s="32"/>
      <c r="DD35" s="31"/>
      <c r="DE35" s="32"/>
      <c r="DF35" s="31"/>
      <c r="DG35" s="32"/>
      <c r="DH35" s="34"/>
      <c r="DI35" s="45"/>
      <c r="DJ35" s="31"/>
      <c r="DK35" s="32"/>
      <c r="DL35" s="31"/>
      <c r="DM35" s="32"/>
      <c r="DN35" s="31"/>
      <c r="DO35" s="32"/>
      <c r="DP35" s="34"/>
      <c r="DQ35" s="45"/>
      <c r="DR35" s="31"/>
      <c r="DS35" s="32"/>
      <c r="DT35" s="31"/>
      <c r="DU35" s="32"/>
      <c r="DV35" s="31"/>
      <c r="DW35" s="32"/>
      <c r="DX35" s="34"/>
      <c r="DY35" s="45"/>
      <c r="DZ35" s="31"/>
      <c r="EA35" s="32"/>
      <c r="EB35" s="31"/>
      <c r="EC35" s="32"/>
      <c r="ED35" s="31"/>
      <c r="EE35" s="32"/>
      <c r="EF35" s="34"/>
      <c r="EG35" s="45"/>
      <c r="EH35" s="31"/>
      <c r="EI35" s="32"/>
      <c r="EJ35" s="31"/>
      <c r="EK35" s="32"/>
      <c r="EL35" s="31"/>
      <c r="EM35" s="32"/>
      <c r="EN35" s="34"/>
      <c r="EO35" s="45"/>
      <c r="EP35" s="31"/>
      <c r="EQ35" s="32"/>
      <c r="ER35" s="31"/>
      <c r="ES35" s="32"/>
      <c r="ET35" s="31"/>
      <c r="EU35" s="32"/>
      <c r="EV35" s="34"/>
      <c r="EW35" s="45"/>
      <c r="EX35" s="31"/>
      <c r="EY35" s="32"/>
      <c r="EZ35" s="31"/>
      <c r="FA35" s="32"/>
      <c r="FB35" s="31"/>
      <c r="FC35" s="32"/>
      <c r="FD35" s="34"/>
      <c r="FE35" s="45"/>
      <c r="FF35" s="31"/>
      <c r="FG35" s="32"/>
      <c r="FH35" s="31"/>
      <c r="FI35" s="32"/>
      <c r="FJ35" s="31"/>
      <c r="FK35" s="32"/>
      <c r="FL35" s="34"/>
      <c r="FM35" s="45"/>
      <c r="FN35" s="31"/>
      <c r="FO35" s="32"/>
      <c r="FP35" s="31"/>
      <c r="FQ35" s="32"/>
      <c r="FR35" s="31"/>
      <c r="FS35" s="32"/>
      <c r="FT35" s="34"/>
      <c r="FU35" s="45"/>
      <c r="FV35" s="31"/>
      <c r="FW35" s="32"/>
      <c r="FX35" s="31"/>
      <c r="FY35" s="32"/>
      <c r="FZ35" s="31"/>
      <c r="GA35" s="32"/>
      <c r="GB35" s="34"/>
      <c r="GC35" s="45"/>
      <c r="GD35" s="31"/>
      <c r="GE35" s="32"/>
      <c r="GF35" s="31"/>
      <c r="GG35" s="32"/>
      <c r="GH35" s="31"/>
      <c r="GI35" s="32"/>
      <c r="GJ35" s="34"/>
      <c r="GK35" s="45"/>
      <c r="GL35" s="31"/>
      <c r="GM35" s="32"/>
      <c r="GN35" s="31"/>
      <c r="GO35" s="32"/>
      <c r="GP35" s="31"/>
      <c r="GQ35" s="32"/>
      <c r="GR35" s="34"/>
      <c r="GS35" s="45"/>
      <c r="GT35" s="31"/>
      <c r="GU35" s="32"/>
      <c r="GV35" s="31"/>
      <c r="GW35" s="32"/>
      <c r="GX35" s="31"/>
      <c r="GY35" s="32"/>
      <c r="GZ35" s="34"/>
      <c r="HA35" s="45"/>
      <c r="HB35" s="31"/>
      <c r="HC35" s="32"/>
      <c r="HD35" s="31"/>
      <c r="HE35" s="32"/>
      <c r="HF35" s="31"/>
      <c r="HG35" s="32"/>
      <c r="HH35" s="34"/>
      <c r="HI35" s="45"/>
      <c r="HJ35" s="31"/>
      <c r="HK35" s="32"/>
      <c r="HL35" s="31"/>
      <c r="HM35" s="32"/>
      <c r="HN35" s="31"/>
      <c r="HO35" s="32"/>
      <c r="HP35" s="34"/>
      <c r="HQ35" s="45"/>
      <c r="HR35" s="31"/>
      <c r="HS35" s="32"/>
      <c r="HT35" s="31"/>
      <c r="HU35" s="32"/>
      <c r="HV35" s="31"/>
      <c r="HW35" s="32"/>
      <c r="HX35" s="34"/>
      <c r="HY35" s="45"/>
      <c r="HZ35" s="31"/>
      <c r="IA35" s="32"/>
      <c r="IB35" s="31"/>
      <c r="IC35" s="32"/>
      <c r="ID35" s="31"/>
      <c r="IE35" s="32"/>
      <c r="IF35" s="34"/>
      <c r="IG35" s="45"/>
      <c r="IH35" s="31"/>
      <c r="II35" s="32"/>
      <c r="IJ35" s="31"/>
      <c r="IK35" s="32"/>
      <c r="IL35" s="31"/>
      <c r="IM35" s="32"/>
      <c r="IN35" s="34"/>
      <c r="IO35" s="45"/>
      <c r="IP35" s="31"/>
      <c r="IQ35" s="32"/>
      <c r="IR35" s="31"/>
      <c r="IS35" s="32"/>
      <c r="IT35" s="31"/>
      <c r="IU35" s="32"/>
      <c r="IV35" s="34"/>
    </row>
    <row r="36" spans="1:256" s="15" customFormat="1" ht="12.75">
      <c r="A36" s="92"/>
      <c r="B36" s="48"/>
      <c r="C36" s="49"/>
      <c r="D36" s="48"/>
      <c r="E36" s="49"/>
      <c r="F36" s="48"/>
      <c r="G36" s="49"/>
      <c r="H36" s="75"/>
      <c r="I36" s="51"/>
      <c r="J36" s="48"/>
      <c r="K36" s="49"/>
      <c r="L36" s="48"/>
      <c r="M36" s="49"/>
      <c r="N36" s="48"/>
      <c r="O36" s="49"/>
      <c r="P36" s="50"/>
      <c r="Q36" s="51"/>
      <c r="R36" s="48"/>
      <c r="S36" s="49"/>
      <c r="T36" s="48"/>
      <c r="U36" s="49"/>
      <c r="V36" s="48"/>
      <c r="W36" s="49"/>
      <c r="X36" s="50"/>
      <c r="Y36" s="51"/>
      <c r="Z36" s="48"/>
      <c r="AA36" s="49"/>
      <c r="AB36" s="48"/>
      <c r="AC36" s="49"/>
      <c r="AD36" s="48"/>
      <c r="AE36" s="49"/>
      <c r="AF36" s="50"/>
      <c r="AG36" s="51"/>
      <c r="AH36" s="48"/>
      <c r="AI36" s="49"/>
      <c r="AJ36" s="48"/>
      <c r="AK36" s="49"/>
      <c r="AL36" s="48"/>
      <c r="AM36" s="49"/>
      <c r="AN36" s="50"/>
      <c r="AO36" s="51"/>
      <c r="AP36" s="48"/>
      <c r="AQ36" s="49"/>
      <c r="AR36" s="48"/>
      <c r="AS36" s="49"/>
      <c r="AT36" s="48"/>
      <c r="AU36" s="49"/>
      <c r="AV36" s="50"/>
      <c r="AW36" s="51"/>
      <c r="AX36" s="48"/>
      <c r="AY36" s="49"/>
      <c r="AZ36" s="48"/>
      <c r="BA36" s="49"/>
      <c r="BB36" s="48"/>
      <c r="BC36" s="49"/>
      <c r="BD36" s="50"/>
      <c r="BE36" s="51"/>
      <c r="BF36" s="48"/>
      <c r="BG36" s="49"/>
      <c r="BH36" s="48"/>
      <c r="BI36" s="49"/>
      <c r="BJ36" s="48"/>
      <c r="BK36" s="49"/>
      <c r="BL36" s="50"/>
      <c r="BM36" s="51"/>
      <c r="BN36" s="48"/>
      <c r="BO36" s="49"/>
      <c r="BP36" s="48"/>
      <c r="BQ36" s="49"/>
      <c r="BR36" s="48"/>
      <c r="BS36" s="49"/>
      <c r="BT36" s="50"/>
      <c r="BU36" s="51"/>
      <c r="BV36" s="48"/>
      <c r="BW36" s="49"/>
      <c r="BX36" s="48"/>
      <c r="BY36" s="49"/>
      <c r="BZ36" s="48"/>
      <c r="CA36" s="49"/>
      <c r="CB36" s="50"/>
      <c r="CC36" s="51"/>
      <c r="CD36" s="48"/>
      <c r="CE36" s="49"/>
      <c r="CF36" s="48"/>
      <c r="CG36" s="49"/>
      <c r="CH36" s="48"/>
      <c r="CI36" s="49"/>
      <c r="CJ36" s="50"/>
      <c r="CK36" s="51"/>
      <c r="CL36" s="48"/>
      <c r="CM36" s="49"/>
      <c r="CN36" s="48"/>
      <c r="CO36" s="49"/>
      <c r="CP36" s="48"/>
      <c r="CQ36" s="49"/>
      <c r="CR36" s="50"/>
      <c r="CS36" s="51"/>
      <c r="CT36" s="48"/>
      <c r="CU36" s="49"/>
      <c r="CV36" s="48"/>
      <c r="CW36" s="49"/>
      <c r="CX36" s="48"/>
      <c r="CY36" s="49"/>
      <c r="CZ36" s="50"/>
      <c r="DA36" s="51"/>
      <c r="DB36" s="48"/>
      <c r="DC36" s="49"/>
      <c r="DD36" s="48"/>
      <c r="DE36" s="49"/>
      <c r="DF36" s="48"/>
      <c r="DG36" s="49"/>
      <c r="DH36" s="50"/>
      <c r="DI36" s="51"/>
      <c r="DJ36" s="48"/>
      <c r="DK36" s="49"/>
      <c r="DL36" s="48"/>
      <c r="DM36" s="49"/>
      <c r="DN36" s="48"/>
      <c r="DO36" s="49"/>
      <c r="DP36" s="50"/>
      <c r="DQ36" s="51"/>
      <c r="DR36" s="48"/>
      <c r="DS36" s="49"/>
      <c r="DT36" s="48"/>
      <c r="DU36" s="49"/>
      <c r="DV36" s="48"/>
      <c r="DW36" s="49"/>
      <c r="DX36" s="50"/>
      <c r="DY36" s="51"/>
      <c r="DZ36" s="48"/>
      <c r="EA36" s="49"/>
      <c r="EB36" s="48"/>
      <c r="EC36" s="49"/>
      <c r="ED36" s="48"/>
      <c r="EE36" s="49"/>
      <c r="EF36" s="50"/>
      <c r="EG36" s="51"/>
      <c r="EH36" s="48"/>
      <c r="EI36" s="49"/>
      <c r="EJ36" s="48"/>
      <c r="EK36" s="49"/>
      <c r="EL36" s="48"/>
      <c r="EM36" s="49"/>
      <c r="EN36" s="50"/>
      <c r="EO36" s="51"/>
      <c r="EP36" s="48"/>
      <c r="EQ36" s="49"/>
      <c r="ER36" s="48"/>
      <c r="ES36" s="49"/>
      <c r="ET36" s="48"/>
      <c r="EU36" s="49"/>
      <c r="EV36" s="50"/>
      <c r="EW36" s="51"/>
      <c r="EX36" s="48"/>
      <c r="EY36" s="49"/>
      <c r="EZ36" s="48"/>
      <c r="FA36" s="49"/>
      <c r="FB36" s="48"/>
      <c r="FC36" s="49"/>
      <c r="FD36" s="50"/>
      <c r="FE36" s="51"/>
      <c r="FF36" s="48"/>
      <c r="FG36" s="49"/>
      <c r="FH36" s="48"/>
      <c r="FI36" s="49"/>
      <c r="FJ36" s="48"/>
      <c r="FK36" s="49"/>
      <c r="FL36" s="50"/>
      <c r="FM36" s="51"/>
      <c r="FN36" s="48"/>
      <c r="FO36" s="49"/>
      <c r="FP36" s="48"/>
      <c r="FQ36" s="49"/>
      <c r="FR36" s="48"/>
      <c r="FS36" s="49"/>
      <c r="FT36" s="50"/>
      <c r="FU36" s="51"/>
      <c r="FV36" s="48"/>
      <c r="FW36" s="49"/>
      <c r="FX36" s="48"/>
      <c r="FY36" s="49"/>
      <c r="FZ36" s="48"/>
      <c r="GA36" s="49"/>
      <c r="GB36" s="50"/>
      <c r="GC36" s="51"/>
      <c r="GD36" s="48"/>
      <c r="GE36" s="49"/>
      <c r="GF36" s="48"/>
      <c r="GG36" s="49"/>
      <c r="GH36" s="48"/>
      <c r="GI36" s="49"/>
      <c r="GJ36" s="50"/>
      <c r="GK36" s="51"/>
      <c r="GL36" s="48"/>
      <c r="GM36" s="49"/>
      <c r="GN36" s="48"/>
      <c r="GO36" s="49"/>
      <c r="GP36" s="48"/>
      <c r="GQ36" s="49"/>
      <c r="GR36" s="50"/>
      <c r="GS36" s="51"/>
      <c r="GT36" s="48"/>
      <c r="GU36" s="49"/>
      <c r="GV36" s="48"/>
      <c r="GW36" s="49"/>
      <c r="GX36" s="48"/>
      <c r="GY36" s="49"/>
      <c r="GZ36" s="50"/>
      <c r="HA36" s="51"/>
      <c r="HB36" s="48"/>
      <c r="HC36" s="49"/>
      <c r="HD36" s="48"/>
      <c r="HE36" s="49"/>
      <c r="HF36" s="48"/>
      <c r="HG36" s="49"/>
      <c r="HH36" s="50"/>
      <c r="HI36" s="51"/>
      <c r="HJ36" s="48"/>
      <c r="HK36" s="49"/>
      <c r="HL36" s="48"/>
      <c r="HM36" s="49"/>
      <c r="HN36" s="48"/>
      <c r="HO36" s="49"/>
      <c r="HP36" s="50"/>
      <c r="HQ36" s="51"/>
      <c r="HR36" s="48"/>
      <c r="HS36" s="49"/>
      <c r="HT36" s="48"/>
      <c r="HU36" s="49"/>
      <c r="HV36" s="48"/>
      <c r="HW36" s="49"/>
      <c r="HX36" s="50"/>
      <c r="HY36" s="51"/>
      <c r="HZ36" s="48"/>
      <c r="IA36" s="49"/>
      <c r="IB36" s="48"/>
      <c r="IC36" s="49"/>
      <c r="ID36" s="48"/>
      <c r="IE36" s="49"/>
      <c r="IF36" s="50"/>
      <c r="IG36" s="51"/>
      <c r="IH36" s="48"/>
      <c r="II36" s="49"/>
      <c r="IJ36" s="48"/>
      <c r="IK36" s="49"/>
      <c r="IL36" s="48"/>
      <c r="IM36" s="49"/>
      <c r="IN36" s="50"/>
      <c r="IO36" s="51"/>
      <c r="IP36" s="48"/>
      <c r="IQ36" s="49"/>
      <c r="IR36" s="48"/>
      <c r="IS36" s="49"/>
      <c r="IT36" s="48"/>
      <c r="IU36" s="49"/>
      <c r="IV36" s="50"/>
    </row>
    <row r="37" spans="1:256" s="15" customFormat="1" ht="12.75">
      <c r="A37" s="90" t="s">
        <v>9</v>
      </c>
      <c r="B37" s="31">
        <v>1631</v>
      </c>
      <c r="C37" s="32">
        <v>0.11652496963635096</v>
      </c>
      <c r="D37" s="31">
        <v>712</v>
      </c>
      <c r="E37" s="32">
        <v>0.13590379843481587</v>
      </c>
      <c r="F37" s="31">
        <v>5440</v>
      </c>
      <c r="G37" s="32">
        <v>0.18859421043508418</v>
      </c>
      <c r="H37" s="73">
        <v>0.147007659502083</v>
      </c>
      <c r="I37" s="45"/>
      <c r="J37" s="31"/>
      <c r="K37" s="32"/>
      <c r="L37" s="31"/>
      <c r="M37" s="32"/>
      <c r="N37" s="31"/>
      <c r="O37" s="32"/>
      <c r="P37" s="34"/>
      <c r="Q37" s="45"/>
      <c r="R37" s="31"/>
      <c r="S37" s="32"/>
      <c r="T37" s="31"/>
      <c r="U37" s="32"/>
      <c r="V37" s="31"/>
      <c r="W37" s="32"/>
      <c r="X37" s="34"/>
      <c r="Y37" s="45"/>
      <c r="Z37" s="31"/>
      <c r="AA37" s="32"/>
      <c r="AB37" s="31"/>
      <c r="AC37" s="32"/>
      <c r="AD37" s="31"/>
      <c r="AE37" s="32"/>
      <c r="AF37" s="34"/>
      <c r="AG37" s="45"/>
      <c r="AH37" s="31"/>
      <c r="AI37" s="32"/>
      <c r="AJ37" s="31"/>
      <c r="AK37" s="32"/>
      <c r="AL37" s="31"/>
      <c r="AM37" s="32"/>
      <c r="AN37" s="34"/>
      <c r="AO37" s="45"/>
      <c r="AP37" s="31"/>
      <c r="AQ37" s="32"/>
      <c r="AR37" s="31"/>
      <c r="AS37" s="32"/>
      <c r="AT37" s="31"/>
      <c r="AU37" s="32"/>
      <c r="AV37" s="34"/>
      <c r="AW37" s="45"/>
      <c r="AX37" s="31"/>
      <c r="AY37" s="32"/>
      <c r="AZ37" s="31"/>
      <c r="BA37" s="32"/>
      <c r="BB37" s="31"/>
      <c r="BC37" s="32"/>
      <c r="BD37" s="34"/>
      <c r="BE37" s="45"/>
      <c r="BF37" s="31"/>
      <c r="BG37" s="32"/>
      <c r="BH37" s="31"/>
      <c r="BI37" s="32"/>
      <c r="BJ37" s="31"/>
      <c r="BK37" s="32"/>
      <c r="BL37" s="34"/>
      <c r="BM37" s="45"/>
      <c r="BN37" s="31"/>
      <c r="BO37" s="32"/>
      <c r="BP37" s="31"/>
      <c r="BQ37" s="32"/>
      <c r="BR37" s="31"/>
      <c r="BS37" s="32"/>
      <c r="BT37" s="34"/>
      <c r="BU37" s="45"/>
      <c r="BV37" s="31"/>
      <c r="BW37" s="32"/>
      <c r="BX37" s="31"/>
      <c r="BY37" s="32"/>
      <c r="BZ37" s="31"/>
      <c r="CA37" s="32"/>
      <c r="CB37" s="34"/>
      <c r="CC37" s="45"/>
      <c r="CD37" s="31"/>
      <c r="CE37" s="32"/>
      <c r="CF37" s="31"/>
      <c r="CG37" s="32"/>
      <c r="CH37" s="31"/>
      <c r="CI37" s="32"/>
      <c r="CJ37" s="34"/>
      <c r="CK37" s="45"/>
      <c r="CL37" s="31"/>
      <c r="CM37" s="32"/>
      <c r="CN37" s="31"/>
      <c r="CO37" s="32"/>
      <c r="CP37" s="31"/>
      <c r="CQ37" s="32"/>
      <c r="CR37" s="34"/>
      <c r="CS37" s="45"/>
      <c r="CT37" s="31"/>
      <c r="CU37" s="32"/>
      <c r="CV37" s="31"/>
      <c r="CW37" s="32"/>
      <c r="CX37" s="31"/>
      <c r="CY37" s="32"/>
      <c r="CZ37" s="34"/>
      <c r="DA37" s="45"/>
      <c r="DB37" s="31"/>
      <c r="DC37" s="32"/>
      <c r="DD37" s="31"/>
      <c r="DE37" s="32"/>
      <c r="DF37" s="31"/>
      <c r="DG37" s="32"/>
      <c r="DH37" s="34"/>
      <c r="DI37" s="45"/>
      <c r="DJ37" s="31"/>
      <c r="DK37" s="32"/>
      <c r="DL37" s="31"/>
      <c r="DM37" s="32"/>
      <c r="DN37" s="31"/>
      <c r="DO37" s="32"/>
      <c r="DP37" s="34"/>
      <c r="DQ37" s="45"/>
      <c r="DR37" s="31"/>
      <c r="DS37" s="32"/>
      <c r="DT37" s="31"/>
      <c r="DU37" s="32"/>
      <c r="DV37" s="31"/>
      <c r="DW37" s="32"/>
      <c r="DX37" s="34"/>
      <c r="DY37" s="45"/>
      <c r="DZ37" s="31"/>
      <c r="EA37" s="32"/>
      <c r="EB37" s="31"/>
      <c r="EC37" s="32"/>
      <c r="ED37" s="31"/>
      <c r="EE37" s="32"/>
      <c r="EF37" s="34"/>
      <c r="EG37" s="45"/>
      <c r="EH37" s="31"/>
      <c r="EI37" s="32"/>
      <c r="EJ37" s="31"/>
      <c r="EK37" s="32"/>
      <c r="EL37" s="31"/>
      <c r="EM37" s="32"/>
      <c r="EN37" s="34"/>
      <c r="EO37" s="45"/>
      <c r="EP37" s="31"/>
      <c r="EQ37" s="32"/>
      <c r="ER37" s="31"/>
      <c r="ES37" s="32"/>
      <c r="ET37" s="31"/>
      <c r="EU37" s="32"/>
      <c r="EV37" s="34"/>
      <c r="EW37" s="45"/>
      <c r="EX37" s="31"/>
      <c r="EY37" s="32"/>
      <c r="EZ37" s="31"/>
      <c r="FA37" s="32"/>
      <c r="FB37" s="31"/>
      <c r="FC37" s="32"/>
      <c r="FD37" s="34"/>
      <c r="FE37" s="45"/>
      <c r="FF37" s="31"/>
      <c r="FG37" s="32"/>
      <c r="FH37" s="31"/>
      <c r="FI37" s="32"/>
      <c r="FJ37" s="31"/>
      <c r="FK37" s="32"/>
      <c r="FL37" s="34"/>
      <c r="FM37" s="45"/>
      <c r="FN37" s="31"/>
      <c r="FO37" s="32"/>
      <c r="FP37" s="31"/>
      <c r="FQ37" s="32"/>
      <c r="FR37" s="31"/>
      <c r="FS37" s="32"/>
      <c r="FT37" s="34"/>
      <c r="FU37" s="45"/>
      <c r="FV37" s="31"/>
      <c r="FW37" s="32"/>
      <c r="FX37" s="31"/>
      <c r="FY37" s="32"/>
      <c r="FZ37" s="31"/>
      <c r="GA37" s="32"/>
      <c r="GB37" s="34"/>
      <c r="GC37" s="45"/>
      <c r="GD37" s="31"/>
      <c r="GE37" s="32"/>
      <c r="GF37" s="31"/>
      <c r="GG37" s="32"/>
      <c r="GH37" s="31"/>
      <c r="GI37" s="32"/>
      <c r="GJ37" s="34"/>
      <c r="GK37" s="45"/>
      <c r="GL37" s="31"/>
      <c r="GM37" s="32"/>
      <c r="GN37" s="31"/>
      <c r="GO37" s="32"/>
      <c r="GP37" s="31"/>
      <c r="GQ37" s="32"/>
      <c r="GR37" s="34"/>
      <c r="GS37" s="45"/>
      <c r="GT37" s="31"/>
      <c r="GU37" s="32"/>
      <c r="GV37" s="31"/>
      <c r="GW37" s="32"/>
      <c r="GX37" s="31"/>
      <c r="GY37" s="32"/>
      <c r="GZ37" s="34"/>
      <c r="HA37" s="45"/>
      <c r="HB37" s="31"/>
      <c r="HC37" s="32"/>
      <c r="HD37" s="31"/>
      <c r="HE37" s="32"/>
      <c r="HF37" s="31"/>
      <c r="HG37" s="32"/>
      <c r="HH37" s="34"/>
      <c r="HI37" s="45"/>
      <c r="HJ37" s="31"/>
      <c r="HK37" s="32"/>
      <c r="HL37" s="31"/>
      <c r="HM37" s="32"/>
      <c r="HN37" s="31"/>
      <c r="HO37" s="32"/>
      <c r="HP37" s="34"/>
      <c r="HQ37" s="45"/>
      <c r="HR37" s="31"/>
      <c r="HS37" s="32"/>
      <c r="HT37" s="31"/>
      <c r="HU37" s="32"/>
      <c r="HV37" s="31"/>
      <c r="HW37" s="32"/>
      <c r="HX37" s="34"/>
      <c r="HY37" s="45"/>
      <c r="HZ37" s="31"/>
      <c r="IA37" s="32"/>
      <c r="IB37" s="31"/>
      <c r="IC37" s="32"/>
      <c r="ID37" s="31"/>
      <c r="IE37" s="32"/>
      <c r="IF37" s="34"/>
      <c r="IG37" s="45"/>
      <c r="IH37" s="31"/>
      <c r="II37" s="32"/>
      <c r="IJ37" s="31"/>
      <c r="IK37" s="32"/>
      <c r="IL37" s="31"/>
      <c r="IM37" s="32"/>
      <c r="IN37" s="34"/>
      <c r="IO37" s="45"/>
      <c r="IP37" s="31"/>
      <c r="IQ37" s="32"/>
      <c r="IR37" s="31"/>
      <c r="IS37" s="32"/>
      <c r="IT37" s="31"/>
      <c r="IU37" s="32"/>
      <c r="IV37" s="34"/>
    </row>
    <row r="38" spans="1:256" s="15" customFormat="1" ht="12.75">
      <c r="A38" s="92"/>
      <c r="B38" s="48"/>
      <c r="C38" s="49"/>
      <c r="D38" s="48"/>
      <c r="E38" s="49"/>
      <c r="F38" s="48"/>
      <c r="G38" s="49"/>
      <c r="H38" s="75"/>
      <c r="I38" s="51"/>
      <c r="J38" s="48"/>
      <c r="K38" s="49"/>
      <c r="L38" s="48"/>
      <c r="M38" s="49"/>
      <c r="N38" s="48"/>
      <c r="O38" s="49"/>
      <c r="P38" s="50"/>
      <c r="Q38" s="51"/>
      <c r="R38" s="48"/>
      <c r="S38" s="49"/>
      <c r="T38" s="48"/>
      <c r="U38" s="49"/>
      <c r="V38" s="48"/>
      <c r="W38" s="49"/>
      <c r="X38" s="50"/>
      <c r="Y38" s="51"/>
      <c r="Z38" s="48"/>
      <c r="AA38" s="49"/>
      <c r="AB38" s="48"/>
      <c r="AC38" s="49"/>
      <c r="AD38" s="48"/>
      <c r="AE38" s="49"/>
      <c r="AF38" s="50"/>
      <c r="AG38" s="51"/>
      <c r="AH38" s="48"/>
      <c r="AI38" s="49"/>
      <c r="AJ38" s="48"/>
      <c r="AK38" s="49"/>
      <c r="AL38" s="48"/>
      <c r="AM38" s="49"/>
      <c r="AN38" s="50"/>
      <c r="AO38" s="51"/>
      <c r="AP38" s="48"/>
      <c r="AQ38" s="49"/>
      <c r="AR38" s="48"/>
      <c r="AS38" s="49"/>
      <c r="AT38" s="48"/>
      <c r="AU38" s="49"/>
      <c r="AV38" s="50"/>
      <c r="AW38" s="51"/>
      <c r="AX38" s="48"/>
      <c r="AY38" s="49"/>
      <c r="AZ38" s="48"/>
      <c r="BA38" s="49"/>
      <c r="BB38" s="48"/>
      <c r="BC38" s="49"/>
      <c r="BD38" s="50"/>
      <c r="BE38" s="51"/>
      <c r="BF38" s="48"/>
      <c r="BG38" s="49"/>
      <c r="BH38" s="48"/>
      <c r="BI38" s="49"/>
      <c r="BJ38" s="48"/>
      <c r="BK38" s="49"/>
      <c r="BL38" s="50"/>
      <c r="BM38" s="51"/>
      <c r="BN38" s="48"/>
      <c r="BO38" s="49"/>
      <c r="BP38" s="48"/>
      <c r="BQ38" s="49"/>
      <c r="BR38" s="48"/>
      <c r="BS38" s="49"/>
      <c r="BT38" s="50"/>
      <c r="BU38" s="51"/>
      <c r="BV38" s="48"/>
      <c r="BW38" s="49"/>
      <c r="BX38" s="48"/>
      <c r="BY38" s="49"/>
      <c r="BZ38" s="48"/>
      <c r="CA38" s="49"/>
      <c r="CB38" s="50"/>
      <c r="CC38" s="51"/>
      <c r="CD38" s="48"/>
      <c r="CE38" s="49"/>
      <c r="CF38" s="48"/>
      <c r="CG38" s="49"/>
      <c r="CH38" s="48"/>
      <c r="CI38" s="49"/>
      <c r="CJ38" s="50"/>
      <c r="CK38" s="51"/>
      <c r="CL38" s="48"/>
      <c r="CM38" s="49"/>
      <c r="CN38" s="48"/>
      <c r="CO38" s="49"/>
      <c r="CP38" s="48"/>
      <c r="CQ38" s="49"/>
      <c r="CR38" s="50"/>
      <c r="CS38" s="51"/>
      <c r="CT38" s="48"/>
      <c r="CU38" s="49"/>
      <c r="CV38" s="48"/>
      <c r="CW38" s="49"/>
      <c r="CX38" s="48"/>
      <c r="CY38" s="49"/>
      <c r="CZ38" s="50"/>
      <c r="DA38" s="51"/>
      <c r="DB38" s="48"/>
      <c r="DC38" s="49"/>
      <c r="DD38" s="48"/>
      <c r="DE38" s="49"/>
      <c r="DF38" s="48"/>
      <c r="DG38" s="49"/>
      <c r="DH38" s="50"/>
      <c r="DI38" s="51"/>
      <c r="DJ38" s="48"/>
      <c r="DK38" s="49"/>
      <c r="DL38" s="48"/>
      <c r="DM38" s="49"/>
      <c r="DN38" s="48"/>
      <c r="DO38" s="49"/>
      <c r="DP38" s="50"/>
      <c r="DQ38" s="51"/>
      <c r="DR38" s="48"/>
      <c r="DS38" s="49"/>
      <c r="DT38" s="48"/>
      <c r="DU38" s="49"/>
      <c r="DV38" s="48"/>
      <c r="DW38" s="49"/>
      <c r="DX38" s="50"/>
      <c r="DY38" s="51"/>
      <c r="DZ38" s="48"/>
      <c r="EA38" s="49"/>
      <c r="EB38" s="48"/>
      <c r="EC38" s="49"/>
      <c r="ED38" s="48"/>
      <c r="EE38" s="49"/>
      <c r="EF38" s="50"/>
      <c r="EG38" s="51"/>
      <c r="EH38" s="48"/>
      <c r="EI38" s="49"/>
      <c r="EJ38" s="48"/>
      <c r="EK38" s="49"/>
      <c r="EL38" s="48"/>
      <c r="EM38" s="49"/>
      <c r="EN38" s="50"/>
      <c r="EO38" s="51"/>
      <c r="EP38" s="48"/>
      <c r="EQ38" s="49"/>
      <c r="ER38" s="48"/>
      <c r="ES38" s="49"/>
      <c r="ET38" s="48"/>
      <c r="EU38" s="49"/>
      <c r="EV38" s="50"/>
      <c r="EW38" s="51"/>
      <c r="EX38" s="48"/>
      <c r="EY38" s="49"/>
      <c r="EZ38" s="48"/>
      <c r="FA38" s="49"/>
      <c r="FB38" s="48"/>
      <c r="FC38" s="49"/>
      <c r="FD38" s="50"/>
      <c r="FE38" s="51"/>
      <c r="FF38" s="48"/>
      <c r="FG38" s="49"/>
      <c r="FH38" s="48"/>
      <c r="FI38" s="49"/>
      <c r="FJ38" s="48"/>
      <c r="FK38" s="49"/>
      <c r="FL38" s="50"/>
      <c r="FM38" s="51"/>
      <c r="FN38" s="48"/>
      <c r="FO38" s="49"/>
      <c r="FP38" s="48"/>
      <c r="FQ38" s="49"/>
      <c r="FR38" s="48"/>
      <c r="FS38" s="49"/>
      <c r="FT38" s="50"/>
      <c r="FU38" s="51"/>
      <c r="FV38" s="48"/>
      <c r="FW38" s="49"/>
      <c r="FX38" s="48"/>
      <c r="FY38" s="49"/>
      <c r="FZ38" s="48"/>
      <c r="GA38" s="49"/>
      <c r="GB38" s="50"/>
      <c r="GC38" s="51"/>
      <c r="GD38" s="48"/>
      <c r="GE38" s="49"/>
      <c r="GF38" s="48"/>
      <c r="GG38" s="49"/>
      <c r="GH38" s="48"/>
      <c r="GI38" s="49"/>
      <c r="GJ38" s="50"/>
      <c r="GK38" s="51"/>
      <c r="GL38" s="48"/>
      <c r="GM38" s="49"/>
      <c r="GN38" s="48"/>
      <c r="GO38" s="49"/>
      <c r="GP38" s="48"/>
      <c r="GQ38" s="49"/>
      <c r="GR38" s="50"/>
      <c r="GS38" s="51"/>
      <c r="GT38" s="48"/>
      <c r="GU38" s="49"/>
      <c r="GV38" s="48"/>
      <c r="GW38" s="49"/>
      <c r="GX38" s="48"/>
      <c r="GY38" s="49"/>
      <c r="GZ38" s="50"/>
      <c r="HA38" s="51"/>
      <c r="HB38" s="48"/>
      <c r="HC38" s="49"/>
      <c r="HD38" s="48"/>
      <c r="HE38" s="49"/>
      <c r="HF38" s="48"/>
      <c r="HG38" s="49"/>
      <c r="HH38" s="50"/>
      <c r="HI38" s="51"/>
      <c r="HJ38" s="48"/>
      <c r="HK38" s="49"/>
      <c r="HL38" s="48"/>
      <c r="HM38" s="49"/>
      <c r="HN38" s="48"/>
      <c r="HO38" s="49"/>
      <c r="HP38" s="50"/>
      <c r="HQ38" s="51"/>
      <c r="HR38" s="48"/>
      <c r="HS38" s="49"/>
      <c r="HT38" s="48"/>
      <c r="HU38" s="49"/>
      <c r="HV38" s="48"/>
      <c r="HW38" s="49"/>
      <c r="HX38" s="50"/>
      <c r="HY38" s="51"/>
      <c r="HZ38" s="48"/>
      <c r="IA38" s="49"/>
      <c r="IB38" s="48"/>
      <c r="IC38" s="49"/>
      <c r="ID38" s="48"/>
      <c r="IE38" s="49"/>
      <c r="IF38" s="50"/>
      <c r="IG38" s="51"/>
      <c r="IH38" s="48"/>
      <c r="II38" s="49"/>
      <c r="IJ38" s="48"/>
      <c r="IK38" s="49"/>
      <c r="IL38" s="48"/>
      <c r="IM38" s="49"/>
      <c r="IN38" s="50"/>
      <c r="IO38" s="51"/>
      <c r="IP38" s="48"/>
      <c r="IQ38" s="49"/>
      <c r="IR38" s="48"/>
      <c r="IS38" s="49"/>
      <c r="IT38" s="48"/>
      <c r="IU38" s="49"/>
      <c r="IV38" s="50"/>
    </row>
    <row r="39" spans="1:256" s="15" customFormat="1" ht="12.75">
      <c r="A39" s="90" t="s">
        <v>14</v>
      </c>
      <c r="B39" s="31">
        <v>5423</v>
      </c>
      <c r="C39" s="32">
        <v>0.38744016574980356</v>
      </c>
      <c r="D39" s="31">
        <v>1045</v>
      </c>
      <c r="E39" s="32">
        <v>0.1994655468600878</v>
      </c>
      <c r="F39" s="31">
        <v>5920</v>
      </c>
      <c r="G39" s="32">
        <v>0.20523487606170915</v>
      </c>
      <c r="H39" s="73">
        <v>0.2640468628905335</v>
      </c>
      <c r="I39" s="45"/>
      <c r="J39" s="31"/>
      <c r="K39" s="32"/>
      <c r="L39" s="31"/>
      <c r="M39" s="32"/>
      <c r="N39" s="31"/>
      <c r="O39" s="32"/>
      <c r="P39" s="34"/>
      <c r="Q39" s="45"/>
      <c r="R39" s="31"/>
      <c r="S39" s="32"/>
      <c r="T39" s="31"/>
      <c r="U39" s="32"/>
      <c r="V39" s="31"/>
      <c r="W39" s="32"/>
      <c r="X39" s="34"/>
      <c r="Y39" s="45"/>
      <c r="Z39" s="31"/>
      <c r="AA39" s="32"/>
      <c r="AB39" s="31"/>
      <c r="AC39" s="32"/>
      <c r="AD39" s="31"/>
      <c r="AE39" s="32"/>
      <c r="AF39" s="34"/>
      <c r="AG39" s="45"/>
      <c r="AH39" s="31"/>
      <c r="AI39" s="32"/>
      <c r="AJ39" s="31"/>
      <c r="AK39" s="32"/>
      <c r="AL39" s="31"/>
      <c r="AM39" s="32"/>
      <c r="AN39" s="34"/>
      <c r="AO39" s="45"/>
      <c r="AP39" s="31"/>
      <c r="AQ39" s="32"/>
      <c r="AR39" s="31"/>
      <c r="AS39" s="32"/>
      <c r="AT39" s="31"/>
      <c r="AU39" s="32"/>
      <c r="AV39" s="34"/>
      <c r="AW39" s="45"/>
      <c r="AX39" s="31"/>
      <c r="AY39" s="32"/>
      <c r="AZ39" s="31"/>
      <c r="BA39" s="32"/>
      <c r="BB39" s="31"/>
      <c r="BC39" s="32"/>
      <c r="BD39" s="34"/>
      <c r="BE39" s="45"/>
      <c r="BF39" s="31"/>
      <c r="BG39" s="32"/>
      <c r="BH39" s="31"/>
      <c r="BI39" s="32"/>
      <c r="BJ39" s="31"/>
      <c r="BK39" s="32"/>
      <c r="BL39" s="34"/>
      <c r="BM39" s="45"/>
      <c r="BN39" s="31"/>
      <c r="BO39" s="32"/>
      <c r="BP39" s="31"/>
      <c r="BQ39" s="32"/>
      <c r="BR39" s="31"/>
      <c r="BS39" s="32"/>
      <c r="BT39" s="34"/>
      <c r="BU39" s="45"/>
      <c r="BV39" s="31"/>
      <c r="BW39" s="32"/>
      <c r="BX39" s="31"/>
      <c r="BY39" s="32"/>
      <c r="BZ39" s="31"/>
      <c r="CA39" s="32"/>
      <c r="CB39" s="34"/>
      <c r="CC39" s="45"/>
      <c r="CD39" s="31"/>
      <c r="CE39" s="32"/>
      <c r="CF39" s="31"/>
      <c r="CG39" s="32"/>
      <c r="CH39" s="31"/>
      <c r="CI39" s="32"/>
      <c r="CJ39" s="34"/>
      <c r="CK39" s="45"/>
      <c r="CL39" s="31"/>
      <c r="CM39" s="32"/>
      <c r="CN39" s="31"/>
      <c r="CO39" s="32"/>
      <c r="CP39" s="31"/>
      <c r="CQ39" s="32"/>
      <c r="CR39" s="34"/>
      <c r="CS39" s="45"/>
      <c r="CT39" s="31"/>
      <c r="CU39" s="32"/>
      <c r="CV39" s="31"/>
      <c r="CW39" s="32"/>
      <c r="CX39" s="31"/>
      <c r="CY39" s="32"/>
      <c r="CZ39" s="34"/>
      <c r="DA39" s="45"/>
      <c r="DB39" s="31"/>
      <c r="DC39" s="32"/>
      <c r="DD39" s="31"/>
      <c r="DE39" s="32"/>
      <c r="DF39" s="31"/>
      <c r="DG39" s="32"/>
      <c r="DH39" s="34"/>
      <c r="DI39" s="45"/>
      <c r="DJ39" s="31"/>
      <c r="DK39" s="32"/>
      <c r="DL39" s="31"/>
      <c r="DM39" s="32"/>
      <c r="DN39" s="31"/>
      <c r="DO39" s="32"/>
      <c r="DP39" s="34"/>
      <c r="DQ39" s="45"/>
      <c r="DR39" s="31"/>
      <c r="DS39" s="32"/>
      <c r="DT39" s="31"/>
      <c r="DU39" s="32"/>
      <c r="DV39" s="31"/>
      <c r="DW39" s="32"/>
      <c r="DX39" s="34"/>
      <c r="DY39" s="45"/>
      <c r="DZ39" s="31"/>
      <c r="EA39" s="32"/>
      <c r="EB39" s="31"/>
      <c r="EC39" s="32"/>
      <c r="ED39" s="31"/>
      <c r="EE39" s="32"/>
      <c r="EF39" s="34"/>
      <c r="EG39" s="45"/>
      <c r="EH39" s="31"/>
      <c r="EI39" s="32"/>
      <c r="EJ39" s="31"/>
      <c r="EK39" s="32"/>
      <c r="EL39" s="31"/>
      <c r="EM39" s="32"/>
      <c r="EN39" s="34"/>
      <c r="EO39" s="45"/>
      <c r="EP39" s="31"/>
      <c r="EQ39" s="32"/>
      <c r="ER39" s="31"/>
      <c r="ES39" s="32"/>
      <c r="ET39" s="31"/>
      <c r="EU39" s="32"/>
      <c r="EV39" s="34"/>
      <c r="EW39" s="45"/>
      <c r="EX39" s="31"/>
      <c r="EY39" s="32"/>
      <c r="EZ39" s="31"/>
      <c r="FA39" s="32"/>
      <c r="FB39" s="31"/>
      <c r="FC39" s="32"/>
      <c r="FD39" s="34"/>
      <c r="FE39" s="45"/>
      <c r="FF39" s="31"/>
      <c r="FG39" s="32"/>
      <c r="FH39" s="31"/>
      <c r="FI39" s="32"/>
      <c r="FJ39" s="31"/>
      <c r="FK39" s="32"/>
      <c r="FL39" s="34"/>
      <c r="FM39" s="45"/>
      <c r="FN39" s="31"/>
      <c r="FO39" s="32"/>
      <c r="FP39" s="31"/>
      <c r="FQ39" s="32"/>
      <c r="FR39" s="31"/>
      <c r="FS39" s="32"/>
      <c r="FT39" s="34"/>
      <c r="FU39" s="45"/>
      <c r="FV39" s="31"/>
      <c r="FW39" s="32"/>
      <c r="FX39" s="31"/>
      <c r="FY39" s="32"/>
      <c r="FZ39" s="31"/>
      <c r="GA39" s="32"/>
      <c r="GB39" s="34"/>
      <c r="GC39" s="45"/>
      <c r="GD39" s="31"/>
      <c r="GE39" s="32"/>
      <c r="GF39" s="31"/>
      <c r="GG39" s="32"/>
      <c r="GH39" s="31"/>
      <c r="GI39" s="32"/>
      <c r="GJ39" s="34"/>
      <c r="GK39" s="45"/>
      <c r="GL39" s="31"/>
      <c r="GM39" s="32"/>
      <c r="GN39" s="31"/>
      <c r="GO39" s="32"/>
      <c r="GP39" s="31"/>
      <c r="GQ39" s="32"/>
      <c r="GR39" s="34"/>
      <c r="GS39" s="45"/>
      <c r="GT39" s="31"/>
      <c r="GU39" s="32"/>
      <c r="GV39" s="31"/>
      <c r="GW39" s="32"/>
      <c r="GX39" s="31"/>
      <c r="GY39" s="32"/>
      <c r="GZ39" s="34"/>
      <c r="HA39" s="45"/>
      <c r="HB39" s="31"/>
      <c r="HC39" s="32"/>
      <c r="HD39" s="31"/>
      <c r="HE39" s="32"/>
      <c r="HF39" s="31"/>
      <c r="HG39" s="32"/>
      <c r="HH39" s="34"/>
      <c r="HI39" s="45"/>
      <c r="HJ39" s="31"/>
      <c r="HK39" s="32"/>
      <c r="HL39" s="31"/>
      <c r="HM39" s="32"/>
      <c r="HN39" s="31"/>
      <c r="HO39" s="32"/>
      <c r="HP39" s="34"/>
      <c r="HQ39" s="45"/>
      <c r="HR39" s="31"/>
      <c r="HS39" s="32"/>
      <c r="HT39" s="31"/>
      <c r="HU39" s="32"/>
      <c r="HV39" s="31"/>
      <c r="HW39" s="32"/>
      <c r="HX39" s="34"/>
      <c r="HY39" s="45"/>
      <c r="HZ39" s="31"/>
      <c r="IA39" s="32"/>
      <c r="IB39" s="31"/>
      <c r="IC39" s="32"/>
      <c r="ID39" s="31"/>
      <c r="IE39" s="32"/>
      <c r="IF39" s="34"/>
      <c r="IG39" s="45"/>
      <c r="IH39" s="31"/>
      <c r="II39" s="32"/>
      <c r="IJ39" s="31"/>
      <c r="IK39" s="32"/>
      <c r="IL39" s="31"/>
      <c r="IM39" s="32"/>
      <c r="IN39" s="34"/>
      <c r="IO39" s="45"/>
      <c r="IP39" s="31"/>
      <c r="IQ39" s="32"/>
      <c r="IR39" s="31"/>
      <c r="IS39" s="32"/>
      <c r="IT39" s="31"/>
      <c r="IU39" s="32"/>
      <c r="IV39" s="34"/>
    </row>
    <row r="40" spans="1:256" s="15" customFormat="1" ht="12.75">
      <c r="A40" s="93"/>
      <c r="B40" s="31"/>
      <c r="C40" s="32"/>
      <c r="D40" s="31"/>
      <c r="E40" s="32"/>
      <c r="F40" s="31"/>
      <c r="G40" s="32"/>
      <c r="H40" s="76"/>
      <c r="J40" s="31"/>
      <c r="K40" s="32"/>
      <c r="L40" s="31"/>
      <c r="M40" s="32"/>
      <c r="N40" s="31"/>
      <c r="O40" s="32"/>
      <c r="P40" s="33"/>
      <c r="R40" s="31"/>
      <c r="S40" s="32"/>
      <c r="T40" s="31"/>
      <c r="U40" s="32"/>
      <c r="V40" s="31"/>
      <c r="W40" s="32"/>
      <c r="X40" s="33"/>
      <c r="Z40" s="31"/>
      <c r="AA40" s="32"/>
      <c r="AB40" s="31"/>
      <c r="AC40" s="32"/>
      <c r="AD40" s="31"/>
      <c r="AE40" s="32"/>
      <c r="AF40" s="33"/>
      <c r="AH40" s="31"/>
      <c r="AI40" s="32"/>
      <c r="AJ40" s="31"/>
      <c r="AK40" s="32"/>
      <c r="AL40" s="31"/>
      <c r="AM40" s="32"/>
      <c r="AN40" s="33"/>
      <c r="AP40" s="31"/>
      <c r="AQ40" s="32"/>
      <c r="AR40" s="31"/>
      <c r="AS40" s="32"/>
      <c r="AT40" s="31"/>
      <c r="AU40" s="32"/>
      <c r="AV40" s="33"/>
      <c r="AX40" s="31"/>
      <c r="AY40" s="32"/>
      <c r="AZ40" s="31"/>
      <c r="BA40" s="32"/>
      <c r="BB40" s="31"/>
      <c r="BC40" s="32"/>
      <c r="BD40" s="33"/>
      <c r="BF40" s="31"/>
      <c r="BG40" s="32"/>
      <c r="BH40" s="31"/>
      <c r="BI40" s="32"/>
      <c r="BJ40" s="31"/>
      <c r="BK40" s="32"/>
      <c r="BL40" s="33"/>
      <c r="BN40" s="31"/>
      <c r="BO40" s="32"/>
      <c r="BP40" s="31"/>
      <c r="BQ40" s="32"/>
      <c r="BR40" s="31"/>
      <c r="BS40" s="32"/>
      <c r="BT40" s="33"/>
      <c r="BV40" s="31"/>
      <c r="BW40" s="32"/>
      <c r="BX40" s="31"/>
      <c r="BY40" s="32"/>
      <c r="BZ40" s="31"/>
      <c r="CA40" s="32"/>
      <c r="CB40" s="33"/>
      <c r="CD40" s="31"/>
      <c r="CE40" s="32"/>
      <c r="CF40" s="31"/>
      <c r="CG40" s="32"/>
      <c r="CH40" s="31"/>
      <c r="CI40" s="32"/>
      <c r="CJ40" s="33"/>
      <c r="CL40" s="31"/>
      <c r="CM40" s="32"/>
      <c r="CN40" s="31"/>
      <c r="CO40" s="32"/>
      <c r="CP40" s="31"/>
      <c r="CQ40" s="32"/>
      <c r="CR40" s="33"/>
      <c r="CT40" s="31"/>
      <c r="CU40" s="32"/>
      <c r="CV40" s="31"/>
      <c r="CW40" s="32"/>
      <c r="CX40" s="31"/>
      <c r="CY40" s="32"/>
      <c r="CZ40" s="33"/>
      <c r="DB40" s="31"/>
      <c r="DC40" s="32"/>
      <c r="DD40" s="31"/>
      <c r="DE40" s="32"/>
      <c r="DF40" s="31"/>
      <c r="DG40" s="32"/>
      <c r="DH40" s="33"/>
      <c r="DJ40" s="31"/>
      <c r="DK40" s="32"/>
      <c r="DL40" s="31"/>
      <c r="DM40" s="32"/>
      <c r="DN40" s="31"/>
      <c r="DO40" s="32"/>
      <c r="DP40" s="33"/>
      <c r="DR40" s="31"/>
      <c r="DS40" s="32"/>
      <c r="DT40" s="31"/>
      <c r="DU40" s="32"/>
      <c r="DV40" s="31"/>
      <c r="DW40" s="32"/>
      <c r="DX40" s="33"/>
      <c r="DZ40" s="31"/>
      <c r="EA40" s="32"/>
      <c r="EB40" s="31"/>
      <c r="EC40" s="32"/>
      <c r="ED40" s="31"/>
      <c r="EE40" s="32"/>
      <c r="EF40" s="33"/>
      <c r="EH40" s="31"/>
      <c r="EI40" s="32"/>
      <c r="EJ40" s="31"/>
      <c r="EK40" s="32"/>
      <c r="EL40" s="31"/>
      <c r="EM40" s="32"/>
      <c r="EN40" s="33"/>
      <c r="EP40" s="31"/>
      <c r="EQ40" s="32"/>
      <c r="ER40" s="31"/>
      <c r="ES40" s="32"/>
      <c r="ET40" s="31"/>
      <c r="EU40" s="32"/>
      <c r="EV40" s="33"/>
      <c r="EX40" s="31"/>
      <c r="EY40" s="32"/>
      <c r="EZ40" s="31"/>
      <c r="FA40" s="32"/>
      <c r="FB40" s="31"/>
      <c r="FC40" s="32"/>
      <c r="FD40" s="33"/>
      <c r="FF40" s="31"/>
      <c r="FG40" s="32"/>
      <c r="FH40" s="31"/>
      <c r="FI40" s="32"/>
      <c r="FJ40" s="31"/>
      <c r="FK40" s="32"/>
      <c r="FL40" s="33"/>
      <c r="FN40" s="31"/>
      <c r="FO40" s="32"/>
      <c r="FP40" s="31"/>
      <c r="FQ40" s="32"/>
      <c r="FR40" s="31"/>
      <c r="FS40" s="32"/>
      <c r="FT40" s="33"/>
      <c r="FV40" s="31"/>
      <c r="FW40" s="32"/>
      <c r="FX40" s="31"/>
      <c r="FY40" s="32"/>
      <c r="FZ40" s="31"/>
      <c r="GA40" s="32"/>
      <c r="GB40" s="33"/>
      <c r="GD40" s="31"/>
      <c r="GE40" s="32"/>
      <c r="GF40" s="31"/>
      <c r="GG40" s="32"/>
      <c r="GH40" s="31"/>
      <c r="GI40" s="32"/>
      <c r="GJ40" s="33"/>
      <c r="GL40" s="31"/>
      <c r="GM40" s="32"/>
      <c r="GN40" s="31"/>
      <c r="GO40" s="32"/>
      <c r="GP40" s="31"/>
      <c r="GQ40" s="32"/>
      <c r="GR40" s="33"/>
      <c r="GT40" s="31"/>
      <c r="GU40" s="32"/>
      <c r="GV40" s="31"/>
      <c r="GW40" s="32"/>
      <c r="GX40" s="31"/>
      <c r="GY40" s="32"/>
      <c r="GZ40" s="33"/>
      <c r="HB40" s="31"/>
      <c r="HC40" s="32"/>
      <c r="HD40" s="31"/>
      <c r="HE40" s="32"/>
      <c r="HF40" s="31"/>
      <c r="HG40" s="32"/>
      <c r="HH40" s="33"/>
      <c r="HJ40" s="31"/>
      <c r="HK40" s="32"/>
      <c r="HL40" s="31"/>
      <c r="HM40" s="32"/>
      <c r="HN40" s="31"/>
      <c r="HO40" s="32"/>
      <c r="HP40" s="33"/>
      <c r="HR40" s="31"/>
      <c r="HS40" s="32"/>
      <c r="HT40" s="31"/>
      <c r="HU40" s="32"/>
      <c r="HV40" s="31"/>
      <c r="HW40" s="32"/>
      <c r="HX40" s="33"/>
      <c r="HZ40" s="31"/>
      <c r="IA40" s="32"/>
      <c r="IB40" s="31"/>
      <c r="IC40" s="32"/>
      <c r="ID40" s="31"/>
      <c r="IE40" s="32"/>
      <c r="IF40" s="33"/>
      <c r="IH40" s="31"/>
      <c r="II40" s="32"/>
      <c r="IJ40" s="31"/>
      <c r="IK40" s="32"/>
      <c r="IL40" s="31"/>
      <c r="IM40" s="32"/>
      <c r="IN40" s="33"/>
      <c r="IP40" s="31"/>
      <c r="IQ40" s="32"/>
      <c r="IR40" s="31"/>
      <c r="IS40" s="32"/>
      <c r="IT40" s="31"/>
      <c r="IU40" s="32"/>
      <c r="IV40" s="33"/>
    </row>
    <row r="41" spans="1:256" s="15" customFormat="1" ht="12.75">
      <c r="A41" s="90" t="s">
        <v>36</v>
      </c>
      <c r="B41" s="31">
        <v>17</v>
      </c>
      <c r="C41" s="32">
        <v>0.0012145459741373151</v>
      </c>
      <c r="D41" s="31">
        <v>49</v>
      </c>
      <c r="E41" s="32">
        <v>0.009352929948463448</v>
      </c>
      <c r="F41" s="31">
        <v>262</v>
      </c>
      <c r="G41" s="32">
        <v>0.00908302998786618</v>
      </c>
      <c r="H41" s="73">
        <v>0.006550168636822315</v>
      </c>
      <c r="I41" s="45"/>
      <c r="J41" s="31"/>
      <c r="K41" s="32"/>
      <c r="L41" s="31"/>
      <c r="M41" s="32"/>
      <c r="N41" s="31"/>
      <c r="O41" s="32"/>
      <c r="P41" s="34"/>
      <c r="Q41" s="45"/>
      <c r="R41" s="31"/>
      <c r="S41" s="32"/>
      <c r="T41" s="31"/>
      <c r="U41" s="32"/>
      <c r="V41" s="31"/>
      <c r="W41" s="32"/>
      <c r="X41" s="34"/>
      <c r="Y41" s="45"/>
      <c r="Z41" s="31"/>
      <c r="AA41" s="32"/>
      <c r="AB41" s="31"/>
      <c r="AC41" s="32"/>
      <c r="AD41" s="31"/>
      <c r="AE41" s="32"/>
      <c r="AF41" s="34"/>
      <c r="AG41" s="45"/>
      <c r="AH41" s="31"/>
      <c r="AI41" s="32"/>
      <c r="AJ41" s="31"/>
      <c r="AK41" s="32"/>
      <c r="AL41" s="31"/>
      <c r="AM41" s="32"/>
      <c r="AN41" s="34"/>
      <c r="AO41" s="45"/>
      <c r="AP41" s="31"/>
      <c r="AQ41" s="32"/>
      <c r="AR41" s="31"/>
      <c r="AS41" s="32"/>
      <c r="AT41" s="31"/>
      <c r="AU41" s="32"/>
      <c r="AV41" s="34"/>
      <c r="AW41" s="45"/>
      <c r="AX41" s="31"/>
      <c r="AY41" s="32"/>
      <c r="AZ41" s="31"/>
      <c r="BA41" s="32"/>
      <c r="BB41" s="31"/>
      <c r="BC41" s="32"/>
      <c r="BD41" s="34"/>
      <c r="BE41" s="45"/>
      <c r="BF41" s="31"/>
      <c r="BG41" s="32"/>
      <c r="BH41" s="31"/>
      <c r="BI41" s="32"/>
      <c r="BJ41" s="31"/>
      <c r="BK41" s="32"/>
      <c r="BL41" s="34"/>
      <c r="BM41" s="45"/>
      <c r="BN41" s="31"/>
      <c r="BO41" s="32"/>
      <c r="BP41" s="31"/>
      <c r="BQ41" s="32"/>
      <c r="BR41" s="31"/>
      <c r="BS41" s="32"/>
      <c r="BT41" s="34"/>
      <c r="BU41" s="45"/>
      <c r="BV41" s="31"/>
      <c r="BW41" s="32"/>
      <c r="BX41" s="31"/>
      <c r="BY41" s="32"/>
      <c r="BZ41" s="31"/>
      <c r="CA41" s="32"/>
      <c r="CB41" s="34"/>
      <c r="CC41" s="45"/>
      <c r="CD41" s="31"/>
      <c r="CE41" s="32"/>
      <c r="CF41" s="31"/>
      <c r="CG41" s="32"/>
      <c r="CH41" s="31"/>
      <c r="CI41" s="32"/>
      <c r="CJ41" s="34"/>
      <c r="CK41" s="45"/>
      <c r="CL41" s="31"/>
      <c r="CM41" s="32"/>
      <c r="CN41" s="31"/>
      <c r="CO41" s="32"/>
      <c r="CP41" s="31"/>
      <c r="CQ41" s="32"/>
      <c r="CR41" s="34"/>
      <c r="CS41" s="45"/>
      <c r="CT41" s="31"/>
      <c r="CU41" s="32"/>
      <c r="CV41" s="31"/>
      <c r="CW41" s="32"/>
      <c r="CX41" s="31"/>
      <c r="CY41" s="32"/>
      <c r="CZ41" s="34"/>
      <c r="DA41" s="45"/>
      <c r="DB41" s="31"/>
      <c r="DC41" s="32"/>
      <c r="DD41" s="31"/>
      <c r="DE41" s="32"/>
      <c r="DF41" s="31"/>
      <c r="DG41" s="32"/>
      <c r="DH41" s="34"/>
      <c r="DI41" s="45"/>
      <c r="DJ41" s="31"/>
      <c r="DK41" s="32"/>
      <c r="DL41" s="31"/>
      <c r="DM41" s="32"/>
      <c r="DN41" s="31"/>
      <c r="DO41" s="32"/>
      <c r="DP41" s="34"/>
      <c r="DQ41" s="45"/>
      <c r="DR41" s="31"/>
      <c r="DS41" s="32"/>
      <c r="DT41" s="31"/>
      <c r="DU41" s="32"/>
      <c r="DV41" s="31"/>
      <c r="DW41" s="32"/>
      <c r="DX41" s="34"/>
      <c r="DY41" s="45"/>
      <c r="DZ41" s="31"/>
      <c r="EA41" s="32"/>
      <c r="EB41" s="31"/>
      <c r="EC41" s="32"/>
      <c r="ED41" s="31"/>
      <c r="EE41" s="32"/>
      <c r="EF41" s="34"/>
      <c r="EG41" s="45"/>
      <c r="EH41" s="31"/>
      <c r="EI41" s="32"/>
      <c r="EJ41" s="31"/>
      <c r="EK41" s="32"/>
      <c r="EL41" s="31"/>
      <c r="EM41" s="32"/>
      <c r="EN41" s="34"/>
      <c r="EO41" s="45"/>
      <c r="EP41" s="31"/>
      <c r="EQ41" s="32"/>
      <c r="ER41" s="31"/>
      <c r="ES41" s="32"/>
      <c r="ET41" s="31"/>
      <c r="EU41" s="32"/>
      <c r="EV41" s="34"/>
      <c r="EW41" s="45"/>
      <c r="EX41" s="31"/>
      <c r="EY41" s="32"/>
      <c r="EZ41" s="31"/>
      <c r="FA41" s="32"/>
      <c r="FB41" s="31"/>
      <c r="FC41" s="32"/>
      <c r="FD41" s="34"/>
      <c r="FE41" s="45"/>
      <c r="FF41" s="31"/>
      <c r="FG41" s="32"/>
      <c r="FH41" s="31"/>
      <c r="FI41" s="32"/>
      <c r="FJ41" s="31"/>
      <c r="FK41" s="32"/>
      <c r="FL41" s="34"/>
      <c r="FM41" s="45"/>
      <c r="FN41" s="31"/>
      <c r="FO41" s="32"/>
      <c r="FP41" s="31"/>
      <c r="FQ41" s="32"/>
      <c r="FR41" s="31"/>
      <c r="FS41" s="32"/>
      <c r="FT41" s="34"/>
      <c r="FU41" s="45"/>
      <c r="FV41" s="31"/>
      <c r="FW41" s="32"/>
      <c r="FX41" s="31"/>
      <c r="FY41" s="32"/>
      <c r="FZ41" s="31"/>
      <c r="GA41" s="32"/>
      <c r="GB41" s="34"/>
      <c r="GC41" s="45"/>
      <c r="GD41" s="31"/>
      <c r="GE41" s="32"/>
      <c r="GF41" s="31"/>
      <c r="GG41" s="32"/>
      <c r="GH41" s="31"/>
      <c r="GI41" s="32"/>
      <c r="GJ41" s="34"/>
      <c r="GK41" s="45"/>
      <c r="GL41" s="31"/>
      <c r="GM41" s="32"/>
      <c r="GN41" s="31"/>
      <c r="GO41" s="32"/>
      <c r="GP41" s="31"/>
      <c r="GQ41" s="32"/>
      <c r="GR41" s="34"/>
      <c r="GS41" s="45"/>
      <c r="GT41" s="31"/>
      <c r="GU41" s="32"/>
      <c r="GV41" s="31"/>
      <c r="GW41" s="32"/>
      <c r="GX41" s="31"/>
      <c r="GY41" s="32"/>
      <c r="GZ41" s="34"/>
      <c r="HA41" s="45"/>
      <c r="HB41" s="31"/>
      <c r="HC41" s="32"/>
      <c r="HD41" s="31"/>
      <c r="HE41" s="32"/>
      <c r="HF41" s="31"/>
      <c r="HG41" s="32"/>
      <c r="HH41" s="34"/>
      <c r="HI41" s="45"/>
      <c r="HJ41" s="31"/>
      <c r="HK41" s="32"/>
      <c r="HL41" s="31"/>
      <c r="HM41" s="32"/>
      <c r="HN41" s="31"/>
      <c r="HO41" s="32"/>
      <c r="HP41" s="34"/>
      <c r="HQ41" s="45"/>
      <c r="HR41" s="31"/>
      <c r="HS41" s="32"/>
      <c r="HT41" s="31"/>
      <c r="HU41" s="32"/>
      <c r="HV41" s="31"/>
      <c r="HW41" s="32"/>
      <c r="HX41" s="34"/>
      <c r="HY41" s="45"/>
      <c r="HZ41" s="31"/>
      <c r="IA41" s="32"/>
      <c r="IB41" s="31"/>
      <c r="IC41" s="32"/>
      <c r="ID41" s="31"/>
      <c r="IE41" s="32"/>
      <c r="IF41" s="34"/>
      <c r="IG41" s="45"/>
      <c r="IH41" s="31"/>
      <c r="II41" s="32"/>
      <c r="IJ41" s="31"/>
      <c r="IK41" s="32"/>
      <c r="IL41" s="31"/>
      <c r="IM41" s="32"/>
      <c r="IN41" s="34"/>
      <c r="IO41" s="45"/>
      <c r="IP41" s="31"/>
      <c r="IQ41" s="32"/>
      <c r="IR41" s="31"/>
      <c r="IS41" s="32"/>
      <c r="IT41" s="31"/>
      <c r="IU41" s="32"/>
      <c r="IV41" s="34"/>
    </row>
    <row r="42" spans="1:256" s="15" customFormat="1" ht="12.75">
      <c r="A42" s="93"/>
      <c r="B42" s="31"/>
      <c r="C42" s="32"/>
      <c r="D42" s="31"/>
      <c r="E42" s="32"/>
      <c r="F42" s="31"/>
      <c r="G42" s="32"/>
      <c r="H42" s="76"/>
      <c r="J42" s="31"/>
      <c r="K42" s="32"/>
      <c r="L42" s="31"/>
      <c r="M42" s="32"/>
      <c r="N42" s="31"/>
      <c r="O42" s="32"/>
      <c r="P42" s="33"/>
      <c r="R42" s="31"/>
      <c r="S42" s="32"/>
      <c r="T42" s="31"/>
      <c r="U42" s="32"/>
      <c r="V42" s="31"/>
      <c r="W42" s="32"/>
      <c r="X42" s="33"/>
      <c r="Z42" s="31"/>
      <c r="AA42" s="32"/>
      <c r="AB42" s="31"/>
      <c r="AC42" s="32"/>
      <c r="AD42" s="31"/>
      <c r="AE42" s="32"/>
      <c r="AF42" s="33"/>
      <c r="AH42" s="31"/>
      <c r="AI42" s="32"/>
      <c r="AJ42" s="31"/>
      <c r="AK42" s="32"/>
      <c r="AL42" s="31"/>
      <c r="AM42" s="32"/>
      <c r="AN42" s="33"/>
      <c r="AP42" s="31"/>
      <c r="AQ42" s="32"/>
      <c r="AR42" s="31"/>
      <c r="AS42" s="32"/>
      <c r="AT42" s="31"/>
      <c r="AU42" s="32"/>
      <c r="AV42" s="33"/>
      <c r="AX42" s="31"/>
      <c r="AY42" s="32"/>
      <c r="AZ42" s="31"/>
      <c r="BA42" s="32"/>
      <c r="BB42" s="31"/>
      <c r="BC42" s="32"/>
      <c r="BD42" s="33"/>
      <c r="BF42" s="31"/>
      <c r="BG42" s="32"/>
      <c r="BH42" s="31"/>
      <c r="BI42" s="32"/>
      <c r="BJ42" s="31"/>
      <c r="BK42" s="32"/>
      <c r="BL42" s="33"/>
      <c r="BN42" s="31"/>
      <c r="BO42" s="32"/>
      <c r="BP42" s="31"/>
      <c r="BQ42" s="32"/>
      <c r="BR42" s="31"/>
      <c r="BS42" s="32"/>
      <c r="BT42" s="33"/>
      <c r="BV42" s="31"/>
      <c r="BW42" s="32"/>
      <c r="BX42" s="31"/>
      <c r="BY42" s="32"/>
      <c r="BZ42" s="31"/>
      <c r="CA42" s="32"/>
      <c r="CB42" s="33"/>
      <c r="CD42" s="31"/>
      <c r="CE42" s="32"/>
      <c r="CF42" s="31"/>
      <c r="CG42" s="32"/>
      <c r="CH42" s="31"/>
      <c r="CI42" s="32"/>
      <c r="CJ42" s="33"/>
      <c r="CL42" s="31"/>
      <c r="CM42" s="32"/>
      <c r="CN42" s="31"/>
      <c r="CO42" s="32"/>
      <c r="CP42" s="31"/>
      <c r="CQ42" s="32"/>
      <c r="CR42" s="33"/>
      <c r="CT42" s="31"/>
      <c r="CU42" s="32"/>
      <c r="CV42" s="31"/>
      <c r="CW42" s="32"/>
      <c r="CX42" s="31"/>
      <c r="CY42" s="32"/>
      <c r="CZ42" s="33"/>
      <c r="DB42" s="31"/>
      <c r="DC42" s="32"/>
      <c r="DD42" s="31"/>
      <c r="DE42" s="32"/>
      <c r="DF42" s="31"/>
      <c r="DG42" s="32"/>
      <c r="DH42" s="33"/>
      <c r="DJ42" s="31"/>
      <c r="DK42" s="32"/>
      <c r="DL42" s="31"/>
      <c r="DM42" s="32"/>
      <c r="DN42" s="31"/>
      <c r="DO42" s="32"/>
      <c r="DP42" s="33"/>
      <c r="DR42" s="31"/>
      <c r="DS42" s="32"/>
      <c r="DT42" s="31"/>
      <c r="DU42" s="32"/>
      <c r="DV42" s="31"/>
      <c r="DW42" s="32"/>
      <c r="DX42" s="33"/>
      <c r="DZ42" s="31"/>
      <c r="EA42" s="32"/>
      <c r="EB42" s="31"/>
      <c r="EC42" s="32"/>
      <c r="ED42" s="31"/>
      <c r="EE42" s="32"/>
      <c r="EF42" s="33"/>
      <c r="EH42" s="31"/>
      <c r="EI42" s="32"/>
      <c r="EJ42" s="31"/>
      <c r="EK42" s="32"/>
      <c r="EL42" s="31"/>
      <c r="EM42" s="32"/>
      <c r="EN42" s="33"/>
      <c r="EP42" s="31"/>
      <c r="EQ42" s="32"/>
      <c r="ER42" s="31"/>
      <c r="ES42" s="32"/>
      <c r="ET42" s="31"/>
      <c r="EU42" s="32"/>
      <c r="EV42" s="33"/>
      <c r="EX42" s="31"/>
      <c r="EY42" s="32"/>
      <c r="EZ42" s="31"/>
      <c r="FA42" s="32"/>
      <c r="FB42" s="31"/>
      <c r="FC42" s="32"/>
      <c r="FD42" s="33"/>
      <c r="FF42" s="31"/>
      <c r="FG42" s="32"/>
      <c r="FH42" s="31"/>
      <c r="FI42" s="32"/>
      <c r="FJ42" s="31"/>
      <c r="FK42" s="32"/>
      <c r="FL42" s="33"/>
      <c r="FN42" s="31"/>
      <c r="FO42" s="32"/>
      <c r="FP42" s="31"/>
      <c r="FQ42" s="32"/>
      <c r="FR42" s="31"/>
      <c r="FS42" s="32"/>
      <c r="FT42" s="33"/>
      <c r="FV42" s="31"/>
      <c r="FW42" s="32"/>
      <c r="FX42" s="31"/>
      <c r="FY42" s="32"/>
      <c r="FZ42" s="31"/>
      <c r="GA42" s="32"/>
      <c r="GB42" s="33"/>
      <c r="GD42" s="31"/>
      <c r="GE42" s="32"/>
      <c r="GF42" s="31"/>
      <c r="GG42" s="32"/>
      <c r="GH42" s="31"/>
      <c r="GI42" s="32"/>
      <c r="GJ42" s="33"/>
      <c r="GL42" s="31"/>
      <c r="GM42" s="32"/>
      <c r="GN42" s="31"/>
      <c r="GO42" s="32"/>
      <c r="GP42" s="31"/>
      <c r="GQ42" s="32"/>
      <c r="GR42" s="33"/>
      <c r="GT42" s="31"/>
      <c r="GU42" s="32"/>
      <c r="GV42" s="31"/>
      <c r="GW42" s="32"/>
      <c r="GX42" s="31"/>
      <c r="GY42" s="32"/>
      <c r="GZ42" s="33"/>
      <c r="HB42" s="31"/>
      <c r="HC42" s="32"/>
      <c r="HD42" s="31"/>
      <c r="HE42" s="32"/>
      <c r="HF42" s="31"/>
      <c r="HG42" s="32"/>
      <c r="HH42" s="33"/>
      <c r="HJ42" s="31"/>
      <c r="HK42" s="32"/>
      <c r="HL42" s="31"/>
      <c r="HM42" s="32"/>
      <c r="HN42" s="31"/>
      <c r="HO42" s="32"/>
      <c r="HP42" s="33"/>
      <c r="HR42" s="31"/>
      <c r="HS42" s="32"/>
      <c r="HT42" s="31"/>
      <c r="HU42" s="32"/>
      <c r="HV42" s="31"/>
      <c r="HW42" s="32"/>
      <c r="HX42" s="33"/>
      <c r="HZ42" s="31"/>
      <c r="IA42" s="32"/>
      <c r="IB42" s="31"/>
      <c r="IC42" s="32"/>
      <c r="ID42" s="31"/>
      <c r="IE42" s="32"/>
      <c r="IF42" s="33"/>
      <c r="IH42" s="31"/>
      <c r="II42" s="32"/>
      <c r="IJ42" s="31"/>
      <c r="IK42" s="32"/>
      <c r="IL42" s="31"/>
      <c r="IM42" s="32"/>
      <c r="IN42" s="33"/>
      <c r="IP42" s="31"/>
      <c r="IQ42" s="32"/>
      <c r="IR42" s="31"/>
      <c r="IS42" s="32"/>
      <c r="IT42" s="31"/>
      <c r="IU42" s="32"/>
      <c r="IV42" s="33"/>
    </row>
    <row r="43" spans="1:256" s="15" customFormat="1" ht="12.75">
      <c r="A43" s="90" t="s">
        <v>12</v>
      </c>
      <c r="B43" s="31">
        <v>335</v>
      </c>
      <c r="C43" s="32">
        <v>0.02393370007858827</v>
      </c>
      <c r="D43" s="31">
        <v>119</v>
      </c>
      <c r="E43" s="32">
        <v>0.02271425844626837</v>
      </c>
      <c r="F43" s="31">
        <v>1583</v>
      </c>
      <c r="G43" s="32">
        <v>0.05487952851447391</v>
      </c>
      <c r="H43" s="73">
        <v>0.03384249567977685</v>
      </c>
      <c r="I43" s="45"/>
      <c r="J43" s="31"/>
      <c r="K43" s="32"/>
      <c r="L43" s="31"/>
      <c r="M43" s="32"/>
      <c r="N43" s="31"/>
      <c r="O43" s="32"/>
      <c r="P43" s="34"/>
      <c r="Q43" s="45"/>
      <c r="R43" s="31"/>
      <c r="S43" s="32"/>
      <c r="T43" s="31"/>
      <c r="U43" s="32"/>
      <c r="V43" s="31"/>
      <c r="W43" s="32"/>
      <c r="X43" s="34"/>
      <c r="Y43" s="45"/>
      <c r="Z43" s="31"/>
      <c r="AA43" s="32"/>
      <c r="AB43" s="31"/>
      <c r="AC43" s="32"/>
      <c r="AD43" s="31"/>
      <c r="AE43" s="32"/>
      <c r="AF43" s="34"/>
      <c r="AG43" s="45"/>
      <c r="AH43" s="31"/>
      <c r="AI43" s="32"/>
      <c r="AJ43" s="31"/>
      <c r="AK43" s="32"/>
      <c r="AL43" s="31"/>
      <c r="AM43" s="32"/>
      <c r="AN43" s="34"/>
      <c r="AO43" s="45"/>
      <c r="AP43" s="31"/>
      <c r="AQ43" s="32"/>
      <c r="AR43" s="31"/>
      <c r="AS43" s="32"/>
      <c r="AT43" s="31"/>
      <c r="AU43" s="32"/>
      <c r="AV43" s="34"/>
      <c r="AW43" s="45"/>
      <c r="AX43" s="31"/>
      <c r="AY43" s="32"/>
      <c r="AZ43" s="31"/>
      <c r="BA43" s="32"/>
      <c r="BB43" s="31"/>
      <c r="BC43" s="32"/>
      <c r="BD43" s="34"/>
      <c r="BE43" s="45"/>
      <c r="BF43" s="31"/>
      <c r="BG43" s="32"/>
      <c r="BH43" s="31"/>
      <c r="BI43" s="32"/>
      <c r="BJ43" s="31"/>
      <c r="BK43" s="32"/>
      <c r="BL43" s="34"/>
      <c r="BM43" s="45"/>
      <c r="BN43" s="31"/>
      <c r="BO43" s="32"/>
      <c r="BP43" s="31"/>
      <c r="BQ43" s="32"/>
      <c r="BR43" s="31"/>
      <c r="BS43" s="32"/>
      <c r="BT43" s="34"/>
      <c r="BU43" s="45"/>
      <c r="BV43" s="31"/>
      <c r="BW43" s="32"/>
      <c r="BX43" s="31"/>
      <c r="BY43" s="32"/>
      <c r="BZ43" s="31"/>
      <c r="CA43" s="32"/>
      <c r="CB43" s="34"/>
      <c r="CC43" s="45"/>
      <c r="CD43" s="31"/>
      <c r="CE43" s="32"/>
      <c r="CF43" s="31"/>
      <c r="CG43" s="32"/>
      <c r="CH43" s="31"/>
      <c r="CI43" s="32"/>
      <c r="CJ43" s="34"/>
      <c r="CK43" s="45"/>
      <c r="CL43" s="31"/>
      <c r="CM43" s="32"/>
      <c r="CN43" s="31"/>
      <c r="CO43" s="32"/>
      <c r="CP43" s="31"/>
      <c r="CQ43" s="32"/>
      <c r="CR43" s="34"/>
      <c r="CS43" s="45"/>
      <c r="CT43" s="31"/>
      <c r="CU43" s="32"/>
      <c r="CV43" s="31"/>
      <c r="CW43" s="32"/>
      <c r="CX43" s="31"/>
      <c r="CY43" s="32"/>
      <c r="CZ43" s="34"/>
      <c r="DA43" s="45"/>
      <c r="DB43" s="31"/>
      <c r="DC43" s="32"/>
      <c r="DD43" s="31"/>
      <c r="DE43" s="32"/>
      <c r="DF43" s="31"/>
      <c r="DG43" s="32"/>
      <c r="DH43" s="34"/>
      <c r="DI43" s="45"/>
      <c r="DJ43" s="31"/>
      <c r="DK43" s="32"/>
      <c r="DL43" s="31"/>
      <c r="DM43" s="32"/>
      <c r="DN43" s="31"/>
      <c r="DO43" s="32"/>
      <c r="DP43" s="34"/>
      <c r="DQ43" s="45"/>
      <c r="DR43" s="31"/>
      <c r="DS43" s="32"/>
      <c r="DT43" s="31"/>
      <c r="DU43" s="32"/>
      <c r="DV43" s="31"/>
      <c r="DW43" s="32"/>
      <c r="DX43" s="34"/>
      <c r="DY43" s="45"/>
      <c r="DZ43" s="31"/>
      <c r="EA43" s="32"/>
      <c r="EB43" s="31"/>
      <c r="EC43" s="32"/>
      <c r="ED43" s="31"/>
      <c r="EE43" s="32"/>
      <c r="EF43" s="34"/>
      <c r="EG43" s="45"/>
      <c r="EH43" s="31"/>
      <c r="EI43" s="32"/>
      <c r="EJ43" s="31"/>
      <c r="EK43" s="32"/>
      <c r="EL43" s="31"/>
      <c r="EM43" s="32"/>
      <c r="EN43" s="34"/>
      <c r="EO43" s="45"/>
      <c r="EP43" s="31"/>
      <c r="EQ43" s="32"/>
      <c r="ER43" s="31"/>
      <c r="ES43" s="32"/>
      <c r="ET43" s="31"/>
      <c r="EU43" s="32"/>
      <c r="EV43" s="34"/>
      <c r="EW43" s="45"/>
      <c r="EX43" s="31"/>
      <c r="EY43" s="32"/>
      <c r="EZ43" s="31"/>
      <c r="FA43" s="32"/>
      <c r="FB43" s="31"/>
      <c r="FC43" s="32"/>
      <c r="FD43" s="34"/>
      <c r="FE43" s="45"/>
      <c r="FF43" s="31"/>
      <c r="FG43" s="32"/>
      <c r="FH43" s="31"/>
      <c r="FI43" s="32"/>
      <c r="FJ43" s="31"/>
      <c r="FK43" s="32"/>
      <c r="FL43" s="34"/>
      <c r="FM43" s="45"/>
      <c r="FN43" s="31"/>
      <c r="FO43" s="32"/>
      <c r="FP43" s="31"/>
      <c r="FQ43" s="32"/>
      <c r="FR43" s="31"/>
      <c r="FS43" s="32"/>
      <c r="FT43" s="34"/>
      <c r="FU43" s="45"/>
      <c r="FV43" s="31"/>
      <c r="FW43" s="32"/>
      <c r="FX43" s="31"/>
      <c r="FY43" s="32"/>
      <c r="FZ43" s="31"/>
      <c r="GA43" s="32"/>
      <c r="GB43" s="34"/>
      <c r="GC43" s="45"/>
      <c r="GD43" s="31"/>
      <c r="GE43" s="32"/>
      <c r="GF43" s="31"/>
      <c r="GG43" s="32"/>
      <c r="GH43" s="31"/>
      <c r="GI43" s="32"/>
      <c r="GJ43" s="34"/>
      <c r="GK43" s="45"/>
      <c r="GL43" s="31"/>
      <c r="GM43" s="32"/>
      <c r="GN43" s="31"/>
      <c r="GO43" s="32"/>
      <c r="GP43" s="31"/>
      <c r="GQ43" s="32"/>
      <c r="GR43" s="34"/>
      <c r="GS43" s="45"/>
      <c r="GT43" s="31"/>
      <c r="GU43" s="32"/>
      <c r="GV43" s="31"/>
      <c r="GW43" s="32"/>
      <c r="GX43" s="31"/>
      <c r="GY43" s="32"/>
      <c r="GZ43" s="34"/>
      <c r="HA43" s="45"/>
      <c r="HB43" s="31"/>
      <c r="HC43" s="32"/>
      <c r="HD43" s="31"/>
      <c r="HE43" s="32"/>
      <c r="HF43" s="31"/>
      <c r="HG43" s="32"/>
      <c r="HH43" s="34"/>
      <c r="HI43" s="45"/>
      <c r="HJ43" s="31"/>
      <c r="HK43" s="32"/>
      <c r="HL43" s="31"/>
      <c r="HM43" s="32"/>
      <c r="HN43" s="31"/>
      <c r="HO43" s="32"/>
      <c r="HP43" s="34"/>
      <c r="HQ43" s="45"/>
      <c r="HR43" s="31"/>
      <c r="HS43" s="32"/>
      <c r="HT43" s="31"/>
      <c r="HU43" s="32"/>
      <c r="HV43" s="31"/>
      <c r="HW43" s="32"/>
      <c r="HX43" s="34"/>
      <c r="HY43" s="45"/>
      <c r="HZ43" s="31"/>
      <c r="IA43" s="32"/>
      <c r="IB43" s="31"/>
      <c r="IC43" s="32"/>
      <c r="ID43" s="31"/>
      <c r="IE43" s="32"/>
      <c r="IF43" s="34"/>
      <c r="IG43" s="45"/>
      <c r="IH43" s="31"/>
      <c r="II43" s="32"/>
      <c r="IJ43" s="31"/>
      <c r="IK43" s="32"/>
      <c r="IL43" s="31"/>
      <c r="IM43" s="32"/>
      <c r="IN43" s="34"/>
      <c r="IO43" s="45"/>
      <c r="IP43" s="31"/>
      <c r="IQ43" s="32"/>
      <c r="IR43" s="31"/>
      <c r="IS43" s="32"/>
      <c r="IT43" s="31"/>
      <c r="IU43" s="32"/>
      <c r="IV43" s="34"/>
    </row>
    <row r="44" spans="1:256" s="15" customFormat="1" ht="12.75">
      <c r="A44" s="91"/>
      <c r="B44" s="31"/>
      <c r="C44" s="32"/>
      <c r="D44" s="31"/>
      <c r="E44" s="32"/>
      <c r="F44" s="31"/>
      <c r="G44" s="32"/>
      <c r="H44" s="76"/>
      <c r="I44" s="74"/>
      <c r="J44" s="31"/>
      <c r="K44" s="32"/>
      <c r="L44" s="31"/>
      <c r="M44" s="32"/>
      <c r="N44" s="31"/>
      <c r="O44" s="32"/>
      <c r="P44" s="33"/>
      <c r="Q44" s="74"/>
      <c r="R44" s="31"/>
      <c r="S44" s="32"/>
      <c r="T44" s="31"/>
      <c r="U44" s="32"/>
      <c r="V44" s="31"/>
      <c r="W44" s="32"/>
      <c r="X44" s="33"/>
      <c r="Y44" s="74"/>
      <c r="Z44" s="31"/>
      <c r="AA44" s="32"/>
      <c r="AB44" s="31"/>
      <c r="AC44" s="32"/>
      <c r="AD44" s="31"/>
      <c r="AE44" s="32"/>
      <c r="AF44" s="33"/>
      <c r="AG44" s="74"/>
      <c r="AH44" s="31"/>
      <c r="AI44" s="32"/>
      <c r="AJ44" s="31"/>
      <c r="AK44" s="32"/>
      <c r="AL44" s="31"/>
      <c r="AM44" s="32"/>
      <c r="AN44" s="33"/>
      <c r="AO44" s="74"/>
      <c r="AP44" s="31"/>
      <c r="AQ44" s="32"/>
      <c r="AR44" s="31"/>
      <c r="AS44" s="32"/>
      <c r="AT44" s="31"/>
      <c r="AU44" s="32"/>
      <c r="AV44" s="33"/>
      <c r="AW44" s="74"/>
      <c r="AX44" s="31"/>
      <c r="AY44" s="32"/>
      <c r="AZ44" s="31"/>
      <c r="BA44" s="32"/>
      <c r="BB44" s="31"/>
      <c r="BC44" s="32"/>
      <c r="BD44" s="33"/>
      <c r="BE44" s="74"/>
      <c r="BF44" s="31"/>
      <c r="BG44" s="32"/>
      <c r="BH44" s="31"/>
      <c r="BI44" s="32"/>
      <c r="BJ44" s="31"/>
      <c r="BK44" s="32"/>
      <c r="BL44" s="33"/>
      <c r="BM44" s="74"/>
      <c r="BN44" s="31"/>
      <c r="BO44" s="32"/>
      <c r="BP44" s="31"/>
      <c r="BQ44" s="32"/>
      <c r="BR44" s="31"/>
      <c r="BS44" s="32"/>
      <c r="BT44" s="33"/>
      <c r="BU44" s="74"/>
      <c r="BV44" s="31"/>
      <c r="BW44" s="32"/>
      <c r="BX44" s="31"/>
      <c r="BY44" s="32"/>
      <c r="BZ44" s="31"/>
      <c r="CA44" s="32"/>
      <c r="CB44" s="33"/>
      <c r="CC44" s="74"/>
      <c r="CD44" s="31"/>
      <c r="CE44" s="32"/>
      <c r="CF44" s="31"/>
      <c r="CG44" s="32"/>
      <c r="CH44" s="31"/>
      <c r="CI44" s="32"/>
      <c r="CJ44" s="33"/>
      <c r="CK44" s="74"/>
      <c r="CL44" s="31"/>
      <c r="CM44" s="32"/>
      <c r="CN44" s="31"/>
      <c r="CO44" s="32"/>
      <c r="CP44" s="31"/>
      <c r="CQ44" s="32"/>
      <c r="CR44" s="33"/>
      <c r="CS44" s="74"/>
      <c r="CT44" s="31"/>
      <c r="CU44" s="32"/>
      <c r="CV44" s="31"/>
      <c r="CW44" s="32"/>
      <c r="CX44" s="31"/>
      <c r="CY44" s="32"/>
      <c r="CZ44" s="33"/>
      <c r="DA44" s="74"/>
      <c r="DB44" s="31"/>
      <c r="DC44" s="32"/>
      <c r="DD44" s="31"/>
      <c r="DE44" s="32"/>
      <c r="DF44" s="31"/>
      <c r="DG44" s="32"/>
      <c r="DH44" s="33"/>
      <c r="DI44" s="74"/>
      <c r="DJ44" s="31"/>
      <c r="DK44" s="32"/>
      <c r="DL44" s="31"/>
      <c r="DM44" s="32"/>
      <c r="DN44" s="31"/>
      <c r="DO44" s="32"/>
      <c r="DP44" s="33"/>
      <c r="DQ44" s="74"/>
      <c r="DR44" s="31"/>
      <c r="DS44" s="32"/>
      <c r="DT44" s="31"/>
      <c r="DU44" s="32"/>
      <c r="DV44" s="31"/>
      <c r="DW44" s="32"/>
      <c r="DX44" s="33"/>
      <c r="DY44" s="74"/>
      <c r="DZ44" s="31"/>
      <c r="EA44" s="32"/>
      <c r="EB44" s="31"/>
      <c r="EC44" s="32"/>
      <c r="ED44" s="31"/>
      <c r="EE44" s="32"/>
      <c r="EF44" s="33"/>
      <c r="EG44" s="74"/>
      <c r="EH44" s="31"/>
      <c r="EI44" s="32"/>
      <c r="EJ44" s="31"/>
      <c r="EK44" s="32"/>
      <c r="EL44" s="31"/>
      <c r="EM44" s="32"/>
      <c r="EN44" s="33"/>
      <c r="EO44" s="74"/>
      <c r="EP44" s="31"/>
      <c r="EQ44" s="32"/>
      <c r="ER44" s="31"/>
      <c r="ES44" s="32"/>
      <c r="ET44" s="31"/>
      <c r="EU44" s="32"/>
      <c r="EV44" s="33"/>
      <c r="EW44" s="74"/>
      <c r="EX44" s="31"/>
      <c r="EY44" s="32"/>
      <c r="EZ44" s="31"/>
      <c r="FA44" s="32"/>
      <c r="FB44" s="31"/>
      <c r="FC44" s="32"/>
      <c r="FD44" s="33"/>
      <c r="FE44" s="74"/>
      <c r="FF44" s="31"/>
      <c r="FG44" s="32"/>
      <c r="FH44" s="31"/>
      <c r="FI44" s="32"/>
      <c r="FJ44" s="31"/>
      <c r="FK44" s="32"/>
      <c r="FL44" s="33"/>
      <c r="FM44" s="74"/>
      <c r="FN44" s="31"/>
      <c r="FO44" s="32"/>
      <c r="FP44" s="31"/>
      <c r="FQ44" s="32"/>
      <c r="FR44" s="31"/>
      <c r="FS44" s="32"/>
      <c r="FT44" s="33"/>
      <c r="FU44" s="74"/>
      <c r="FV44" s="31"/>
      <c r="FW44" s="32"/>
      <c r="FX44" s="31"/>
      <c r="FY44" s="32"/>
      <c r="FZ44" s="31"/>
      <c r="GA44" s="32"/>
      <c r="GB44" s="33"/>
      <c r="GC44" s="74"/>
      <c r="GD44" s="31"/>
      <c r="GE44" s="32"/>
      <c r="GF44" s="31"/>
      <c r="GG44" s="32"/>
      <c r="GH44" s="31"/>
      <c r="GI44" s="32"/>
      <c r="GJ44" s="33"/>
      <c r="GK44" s="74"/>
      <c r="GL44" s="31"/>
      <c r="GM44" s="32"/>
      <c r="GN44" s="31"/>
      <c r="GO44" s="32"/>
      <c r="GP44" s="31"/>
      <c r="GQ44" s="32"/>
      <c r="GR44" s="33"/>
      <c r="GS44" s="74"/>
      <c r="GT44" s="31"/>
      <c r="GU44" s="32"/>
      <c r="GV44" s="31"/>
      <c r="GW44" s="32"/>
      <c r="GX44" s="31"/>
      <c r="GY44" s="32"/>
      <c r="GZ44" s="33"/>
      <c r="HA44" s="74"/>
      <c r="HB44" s="31"/>
      <c r="HC44" s="32"/>
      <c r="HD44" s="31"/>
      <c r="HE44" s="32"/>
      <c r="HF44" s="31"/>
      <c r="HG44" s="32"/>
      <c r="HH44" s="33"/>
      <c r="HI44" s="74"/>
      <c r="HJ44" s="31"/>
      <c r="HK44" s="32"/>
      <c r="HL44" s="31"/>
      <c r="HM44" s="32"/>
      <c r="HN44" s="31"/>
      <c r="HO44" s="32"/>
      <c r="HP44" s="33"/>
      <c r="HQ44" s="74"/>
      <c r="HR44" s="31"/>
      <c r="HS44" s="32"/>
      <c r="HT44" s="31"/>
      <c r="HU44" s="32"/>
      <c r="HV44" s="31"/>
      <c r="HW44" s="32"/>
      <c r="HX44" s="33"/>
      <c r="HY44" s="74"/>
      <c r="HZ44" s="31"/>
      <c r="IA44" s="32"/>
      <c r="IB44" s="31"/>
      <c r="IC44" s="32"/>
      <c r="ID44" s="31"/>
      <c r="IE44" s="32"/>
      <c r="IF44" s="33"/>
      <c r="IG44" s="74"/>
      <c r="IH44" s="31"/>
      <c r="II44" s="32"/>
      <c r="IJ44" s="31"/>
      <c r="IK44" s="32"/>
      <c r="IL44" s="31"/>
      <c r="IM44" s="32"/>
      <c r="IN44" s="33"/>
      <c r="IO44" s="74"/>
      <c r="IP44" s="31"/>
      <c r="IQ44" s="32"/>
      <c r="IR44" s="31"/>
      <c r="IS44" s="32"/>
      <c r="IT44" s="31"/>
      <c r="IU44" s="32"/>
      <c r="IV44" s="33"/>
    </row>
    <row r="45" spans="1:256" s="15" customFormat="1" ht="12.75">
      <c r="A45" s="90" t="s">
        <v>27</v>
      </c>
      <c r="B45" s="31">
        <v>2521</v>
      </c>
      <c r="C45" s="32">
        <v>0.18011002357648068</v>
      </c>
      <c r="D45" s="31">
        <v>1018</v>
      </c>
      <c r="E45" s="32">
        <v>0.19431189158236303</v>
      </c>
      <c r="F45" s="31">
        <v>5007</v>
      </c>
      <c r="G45" s="32">
        <v>0.17358294331773272</v>
      </c>
      <c r="H45" s="73">
        <v>0.1826682861588588</v>
      </c>
      <c r="I45" s="45"/>
      <c r="J45" s="31"/>
      <c r="K45" s="32"/>
      <c r="L45" s="31"/>
      <c r="M45" s="32"/>
      <c r="N45" s="31"/>
      <c r="O45" s="32"/>
      <c r="P45" s="34"/>
      <c r="Q45" s="45"/>
      <c r="R45" s="31"/>
      <c r="S45" s="32"/>
      <c r="T45" s="31"/>
      <c r="U45" s="32"/>
      <c r="V45" s="31"/>
      <c r="W45" s="32"/>
      <c r="X45" s="34"/>
      <c r="Y45" s="45"/>
      <c r="Z45" s="31"/>
      <c r="AA45" s="32"/>
      <c r="AB45" s="31"/>
      <c r="AC45" s="32"/>
      <c r="AD45" s="31"/>
      <c r="AE45" s="32"/>
      <c r="AF45" s="34"/>
      <c r="AG45" s="45"/>
      <c r="AH45" s="31"/>
      <c r="AI45" s="32"/>
      <c r="AJ45" s="31"/>
      <c r="AK45" s="32"/>
      <c r="AL45" s="31"/>
      <c r="AM45" s="32"/>
      <c r="AN45" s="34"/>
      <c r="AO45" s="45"/>
      <c r="AP45" s="31"/>
      <c r="AQ45" s="32"/>
      <c r="AR45" s="31"/>
      <c r="AS45" s="32"/>
      <c r="AT45" s="31"/>
      <c r="AU45" s="32"/>
      <c r="AV45" s="34"/>
      <c r="AW45" s="45"/>
      <c r="AX45" s="31"/>
      <c r="AY45" s="32"/>
      <c r="AZ45" s="31"/>
      <c r="BA45" s="32"/>
      <c r="BB45" s="31"/>
      <c r="BC45" s="32"/>
      <c r="BD45" s="34"/>
      <c r="BE45" s="45"/>
      <c r="BF45" s="31"/>
      <c r="BG45" s="32"/>
      <c r="BH45" s="31"/>
      <c r="BI45" s="32"/>
      <c r="BJ45" s="31"/>
      <c r="BK45" s="32"/>
      <c r="BL45" s="34"/>
      <c r="BM45" s="45"/>
      <c r="BN45" s="31"/>
      <c r="BO45" s="32"/>
      <c r="BP45" s="31"/>
      <c r="BQ45" s="32"/>
      <c r="BR45" s="31"/>
      <c r="BS45" s="32"/>
      <c r="BT45" s="34"/>
      <c r="BU45" s="45"/>
      <c r="BV45" s="31"/>
      <c r="BW45" s="32"/>
      <c r="BX45" s="31"/>
      <c r="BY45" s="32"/>
      <c r="BZ45" s="31"/>
      <c r="CA45" s="32"/>
      <c r="CB45" s="34"/>
      <c r="CC45" s="45"/>
      <c r="CD45" s="31"/>
      <c r="CE45" s="32"/>
      <c r="CF45" s="31"/>
      <c r="CG45" s="32"/>
      <c r="CH45" s="31"/>
      <c r="CI45" s="32"/>
      <c r="CJ45" s="34"/>
      <c r="CK45" s="45"/>
      <c r="CL45" s="31"/>
      <c r="CM45" s="32"/>
      <c r="CN45" s="31"/>
      <c r="CO45" s="32"/>
      <c r="CP45" s="31"/>
      <c r="CQ45" s="32"/>
      <c r="CR45" s="34"/>
      <c r="CS45" s="45"/>
      <c r="CT45" s="31"/>
      <c r="CU45" s="32"/>
      <c r="CV45" s="31"/>
      <c r="CW45" s="32"/>
      <c r="CX45" s="31"/>
      <c r="CY45" s="32"/>
      <c r="CZ45" s="34"/>
      <c r="DA45" s="45"/>
      <c r="DB45" s="31"/>
      <c r="DC45" s="32"/>
      <c r="DD45" s="31"/>
      <c r="DE45" s="32"/>
      <c r="DF45" s="31"/>
      <c r="DG45" s="32"/>
      <c r="DH45" s="34"/>
      <c r="DI45" s="45"/>
      <c r="DJ45" s="31"/>
      <c r="DK45" s="32"/>
      <c r="DL45" s="31"/>
      <c r="DM45" s="32"/>
      <c r="DN45" s="31"/>
      <c r="DO45" s="32"/>
      <c r="DP45" s="34"/>
      <c r="DQ45" s="45"/>
      <c r="DR45" s="31"/>
      <c r="DS45" s="32"/>
      <c r="DT45" s="31"/>
      <c r="DU45" s="32"/>
      <c r="DV45" s="31"/>
      <c r="DW45" s="32"/>
      <c r="DX45" s="34"/>
      <c r="DY45" s="45"/>
      <c r="DZ45" s="31"/>
      <c r="EA45" s="32"/>
      <c r="EB45" s="31"/>
      <c r="EC45" s="32"/>
      <c r="ED45" s="31"/>
      <c r="EE45" s="32"/>
      <c r="EF45" s="34"/>
      <c r="EG45" s="45"/>
      <c r="EH45" s="31"/>
      <c r="EI45" s="32"/>
      <c r="EJ45" s="31"/>
      <c r="EK45" s="32"/>
      <c r="EL45" s="31"/>
      <c r="EM45" s="32"/>
      <c r="EN45" s="34"/>
      <c r="EO45" s="45"/>
      <c r="EP45" s="31"/>
      <c r="EQ45" s="32"/>
      <c r="ER45" s="31"/>
      <c r="ES45" s="32"/>
      <c r="ET45" s="31"/>
      <c r="EU45" s="32"/>
      <c r="EV45" s="34"/>
      <c r="EW45" s="45"/>
      <c r="EX45" s="31"/>
      <c r="EY45" s="32"/>
      <c r="EZ45" s="31"/>
      <c r="FA45" s="32"/>
      <c r="FB45" s="31"/>
      <c r="FC45" s="32"/>
      <c r="FD45" s="34"/>
      <c r="FE45" s="45"/>
      <c r="FF45" s="31"/>
      <c r="FG45" s="32"/>
      <c r="FH45" s="31"/>
      <c r="FI45" s="32"/>
      <c r="FJ45" s="31"/>
      <c r="FK45" s="32"/>
      <c r="FL45" s="34"/>
      <c r="FM45" s="45"/>
      <c r="FN45" s="31"/>
      <c r="FO45" s="32"/>
      <c r="FP45" s="31"/>
      <c r="FQ45" s="32"/>
      <c r="FR45" s="31"/>
      <c r="FS45" s="32"/>
      <c r="FT45" s="34"/>
      <c r="FU45" s="45"/>
      <c r="FV45" s="31"/>
      <c r="FW45" s="32"/>
      <c r="FX45" s="31"/>
      <c r="FY45" s="32"/>
      <c r="FZ45" s="31"/>
      <c r="GA45" s="32"/>
      <c r="GB45" s="34"/>
      <c r="GC45" s="45"/>
      <c r="GD45" s="31"/>
      <c r="GE45" s="32"/>
      <c r="GF45" s="31"/>
      <c r="GG45" s="32"/>
      <c r="GH45" s="31"/>
      <c r="GI45" s="32"/>
      <c r="GJ45" s="34"/>
      <c r="GK45" s="45"/>
      <c r="GL45" s="31"/>
      <c r="GM45" s="32"/>
      <c r="GN45" s="31"/>
      <c r="GO45" s="32"/>
      <c r="GP45" s="31"/>
      <c r="GQ45" s="32"/>
      <c r="GR45" s="34"/>
      <c r="GS45" s="45"/>
      <c r="GT45" s="31"/>
      <c r="GU45" s="32"/>
      <c r="GV45" s="31"/>
      <c r="GW45" s="32"/>
      <c r="GX45" s="31"/>
      <c r="GY45" s="32"/>
      <c r="GZ45" s="34"/>
      <c r="HA45" s="45"/>
      <c r="HB45" s="31"/>
      <c r="HC45" s="32"/>
      <c r="HD45" s="31"/>
      <c r="HE45" s="32"/>
      <c r="HF45" s="31"/>
      <c r="HG45" s="32"/>
      <c r="HH45" s="34"/>
      <c r="HI45" s="45"/>
      <c r="HJ45" s="31"/>
      <c r="HK45" s="32"/>
      <c r="HL45" s="31"/>
      <c r="HM45" s="32"/>
      <c r="HN45" s="31"/>
      <c r="HO45" s="32"/>
      <c r="HP45" s="34"/>
      <c r="HQ45" s="45"/>
      <c r="HR45" s="31"/>
      <c r="HS45" s="32"/>
      <c r="HT45" s="31"/>
      <c r="HU45" s="32"/>
      <c r="HV45" s="31"/>
      <c r="HW45" s="32"/>
      <c r="HX45" s="34"/>
      <c r="HY45" s="45"/>
      <c r="HZ45" s="31"/>
      <c r="IA45" s="32"/>
      <c r="IB45" s="31"/>
      <c r="IC45" s="32"/>
      <c r="ID45" s="31"/>
      <c r="IE45" s="32"/>
      <c r="IF45" s="34"/>
      <c r="IG45" s="45"/>
      <c r="IH45" s="31"/>
      <c r="II45" s="32"/>
      <c r="IJ45" s="31"/>
      <c r="IK45" s="32"/>
      <c r="IL45" s="31"/>
      <c r="IM45" s="32"/>
      <c r="IN45" s="34"/>
      <c r="IO45" s="45"/>
      <c r="IP45" s="31"/>
      <c r="IQ45" s="32"/>
      <c r="IR45" s="31"/>
      <c r="IS45" s="32"/>
      <c r="IT45" s="31"/>
      <c r="IU45" s="32"/>
      <c r="IV45" s="34"/>
    </row>
    <row r="46" spans="1:256" s="15" customFormat="1" ht="12.75">
      <c r="A46" s="93"/>
      <c r="B46" s="31"/>
      <c r="C46" s="32"/>
      <c r="D46" s="31"/>
      <c r="E46" s="32"/>
      <c r="F46" s="31"/>
      <c r="G46" s="32"/>
      <c r="H46" s="76"/>
      <c r="J46" s="31"/>
      <c r="K46" s="32"/>
      <c r="L46" s="31"/>
      <c r="M46" s="32"/>
      <c r="N46" s="31"/>
      <c r="O46" s="32"/>
      <c r="P46" s="33"/>
      <c r="R46" s="31"/>
      <c r="S46" s="32"/>
      <c r="T46" s="31"/>
      <c r="U46" s="32"/>
      <c r="V46" s="31"/>
      <c r="W46" s="32"/>
      <c r="X46" s="33"/>
      <c r="Z46" s="31"/>
      <c r="AA46" s="32"/>
      <c r="AB46" s="31"/>
      <c r="AC46" s="32"/>
      <c r="AD46" s="31"/>
      <c r="AE46" s="32"/>
      <c r="AF46" s="33"/>
      <c r="AH46" s="31"/>
      <c r="AI46" s="32"/>
      <c r="AJ46" s="31"/>
      <c r="AK46" s="32"/>
      <c r="AL46" s="31"/>
      <c r="AM46" s="32"/>
      <c r="AN46" s="33"/>
      <c r="AP46" s="31"/>
      <c r="AQ46" s="32"/>
      <c r="AR46" s="31"/>
      <c r="AS46" s="32"/>
      <c r="AT46" s="31"/>
      <c r="AU46" s="32"/>
      <c r="AV46" s="33"/>
      <c r="AX46" s="31"/>
      <c r="AY46" s="32"/>
      <c r="AZ46" s="31"/>
      <c r="BA46" s="32"/>
      <c r="BB46" s="31"/>
      <c r="BC46" s="32"/>
      <c r="BD46" s="33"/>
      <c r="BF46" s="31"/>
      <c r="BG46" s="32"/>
      <c r="BH46" s="31"/>
      <c r="BI46" s="32"/>
      <c r="BJ46" s="31"/>
      <c r="BK46" s="32"/>
      <c r="BL46" s="33"/>
      <c r="BN46" s="31"/>
      <c r="BO46" s="32"/>
      <c r="BP46" s="31"/>
      <c r="BQ46" s="32"/>
      <c r="BR46" s="31"/>
      <c r="BS46" s="32"/>
      <c r="BT46" s="33"/>
      <c r="BV46" s="31"/>
      <c r="BW46" s="32"/>
      <c r="BX46" s="31"/>
      <c r="BY46" s="32"/>
      <c r="BZ46" s="31"/>
      <c r="CA46" s="32"/>
      <c r="CB46" s="33"/>
      <c r="CD46" s="31"/>
      <c r="CE46" s="32"/>
      <c r="CF46" s="31"/>
      <c r="CG46" s="32"/>
      <c r="CH46" s="31"/>
      <c r="CI46" s="32"/>
      <c r="CJ46" s="33"/>
      <c r="CL46" s="31"/>
      <c r="CM46" s="32"/>
      <c r="CN46" s="31"/>
      <c r="CO46" s="32"/>
      <c r="CP46" s="31"/>
      <c r="CQ46" s="32"/>
      <c r="CR46" s="33"/>
      <c r="CT46" s="31"/>
      <c r="CU46" s="32"/>
      <c r="CV46" s="31"/>
      <c r="CW46" s="32"/>
      <c r="CX46" s="31"/>
      <c r="CY46" s="32"/>
      <c r="CZ46" s="33"/>
      <c r="DB46" s="31"/>
      <c r="DC46" s="32"/>
      <c r="DD46" s="31"/>
      <c r="DE46" s="32"/>
      <c r="DF46" s="31"/>
      <c r="DG46" s="32"/>
      <c r="DH46" s="33"/>
      <c r="DJ46" s="31"/>
      <c r="DK46" s="32"/>
      <c r="DL46" s="31"/>
      <c r="DM46" s="32"/>
      <c r="DN46" s="31"/>
      <c r="DO46" s="32"/>
      <c r="DP46" s="33"/>
      <c r="DR46" s="31"/>
      <c r="DS46" s="32"/>
      <c r="DT46" s="31"/>
      <c r="DU46" s="32"/>
      <c r="DV46" s="31"/>
      <c r="DW46" s="32"/>
      <c r="DX46" s="33"/>
      <c r="DZ46" s="31"/>
      <c r="EA46" s="32"/>
      <c r="EB46" s="31"/>
      <c r="EC46" s="32"/>
      <c r="ED46" s="31"/>
      <c r="EE46" s="32"/>
      <c r="EF46" s="33"/>
      <c r="EH46" s="31"/>
      <c r="EI46" s="32"/>
      <c r="EJ46" s="31"/>
      <c r="EK46" s="32"/>
      <c r="EL46" s="31"/>
      <c r="EM46" s="32"/>
      <c r="EN46" s="33"/>
      <c r="EP46" s="31"/>
      <c r="EQ46" s="32"/>
      <c r="ER46" s="31"/>
      <c r="ES46" s="32"/>
      <c r="ET46" s="31"/>
      <c r="EU46" s="32"/>
      <c r="EV46" s="33"/>
      <c r="EX46" s="31"/>
      <c r="EY46" s="32"/>
      <c r="EZ46" s="31"/>
      <c r="FA46" s="32"/>
      <c r="FB46" s="31"/>
      <c r="FC46" s="32"/>
      <c r="FD46" s="33"/>
      <c r="FF46" s="31"/>
      <c r="FG46" s="32"/>
      <c r="FH46" s="31"/>
      <c r="FI46" s="32"/>
      <c r="FJ46" s="31"/>
      <c r="FK46" s="32"/>
      <c r="FL46" s="33"/>
      <c r="FN46" s="31"/>
      <c r="FO46" s="32"/>
      <c r="FP46" s="31"/>
      <c r="FQ46" s="32"/>
      <c r="FR46" s="31"/>
      <c r="FS46" s="32"/>
      <c r="FT46" s="33"/>
      <c r="FV46" s="31"/>
      <c r="FW46" s="32"/>
      <c r="FX46" s="31"/>
      <c r="FY46" s="32"/>
      <c r="FZ46" s="31"/>
      <c r="GA46" s="32"/>
      <c r="GB46" s="33"/>
      <c r="GD46" s="31"/>
      <c r="GE46" s="32"/>
      <c r="GF46" s="31"/>
      <c r="GG46" s="32"/>
      <c r="GH46" s="31"/>
      <c r="GI46" s="32"/>
      <c r="GJ46" s="33"/>
      <c r="GL46" s="31"/>
      <c r="GM46" s="32"/>
      <c r="GN46" s="31"/>
      <c r="GO46" s="32"/>
      <c r="GP46" s="31"/>
      <c r="GQ46" s="32"/>
      <c r="GR46" s="33"/>
      <c r="GT46" s="31"/>
      <c r="GU46" s="32"/>
      <c r="GV46" s="31"/>
      <c r="GW46" s="32"/>
      <c r="GX46" s="31"/>
      <c r="GY46" s="32"/>
      <c r="GZ46" s="33"/>
      <c r="HB46" s="31"/>
      <c r="HC46" s="32"/>
      <c r="HD46" s="31"/>
      <c r="HE46" s="32"/>
      <c r="HF46" s="31"/>
      <c r="HG46" s="32"/>
      <c r="HH46" s="33"/>
      <c r="HJ46" s="31"/>
      <c r="HK46" s="32"/>
      <c r="HL46" s="31"/>
      <c r="HM46" s="32"/>
      <c r="HN46" s="31"/>
      <c r="HO46" s="32"/>
      <c r="HP46" s="33"/>
      <c r="HR46" s="31"/>
      <c r="HS46" s="32"/>
      <c r="HT46" s="31"/>
      <c r="HU46" s="32"/>
      <c r="HV46" s="31"/>
      <c r="HW46" s="32"/>
      <c r="HX46" s="33"/>
      <c r="HZ46" s="31"/>
      <c r="IA46" s="32"/>
      <c r="IB46" s="31"/>
      <c r="IC46" s="32"/>
      <c r="ID46" s="31"/>
      <c r="IE46" s="32"/>
      <c r="IF46" s="33"/>
      <c r="IH46" s="31"/>
      <c r="II46" s="32"/>
      <c r="IJ46" s="31"/>
      <c r="IK46" s="32"/>
      <c r="IL46" s="31"/>
      <c r="IM46" s="32"/>
      <c r="IN46" s="33"/>
      <c r="IP46" s="31"/>
      <c r="IQ46" s="32"/>
      <c r="IR46" s="31"/>
      <c r="IS46" s="32"/>
      <c r="IT46" s="31"/>
      <c r="IU46" s="32"/>
      <c r="IV46" s="33"/>
    </row>
    <row r="47" spans="1:256" s="15" customFormat="1" ht="13.5" thickBot="1">
      <c r="A47" s="94" t="s">
        <v>197</v>
      </c>
      <c r="B47" s="31">
        <v>435</v>
      </c>
      <c r="C47" s="32">
        <v>0.031078088161748948</v>
      </c>
      <c r="D47" s="31">
        <v>481</v>
      </c>
      <c r="E47" s="32">
        <v>0.09181141439205956</v>
      </c>
      <c r="F47" s="31">
        <v>3523</v>
      </c>
      <c r="G47" s="32">
        <v>0.12213555208875021</v>
      </c>
      <c r="H47" s="73">
        <v>0.08167501821418624</v>
      </c>
      <c r="I47" s="45"/>
      <c r="J47" s="31"/>
      <c r="K47" s="32"/>
      <c r="L47" s="31"/>
      <c r="M47" s="32"/>
      <c r="N47" s="31"/>
      <c r="O47" s="32"/>
      <c r="P47" s="34"/>
      <c r="Q47" s="45"/>
      <c r="R47" s="31"/>
      <c r="S47" s="32"/>
      <c r="T47" s="31"/>
      <c r="U47" s="32"/>
      <c r="V47" s="31"/>
      <c r="W47" s="32"/>
      <c r="X47" s="34"/>
      <c r="Y47" s="45"/>
      <c r="Z47" s="31"/>
      <c r="AA47" s="32"/>
      <c r="AB47" s="31"/>
      <c r="AC47" s="32"/>
      <c r="AD47" s="31"/>
      <c r="AE47" s="32"/>
      <c r="AF47" s="34"/>
      <c r="AG47" s="45"/>
      <c r="AH47" s="31"/>
      <c r="AI47" s="32"/>
      <c r="AJ47" s="31"/>
      <c r="AK47" s="32"/>
      <c r="AL47" s="31"/>
      <c r="AM47" s="32"/>
      <c r="AN47" s="34"/>
      <c r="AO47" s="45"/>
      <c r="AP47" s="31"/>
      <c r="AQ47" s="32"/>
      <c r="AR47" s="31"/>
      <c r="AS47" s="32"/>
      <c r="AT47" s="31"/>
      <c r="AU47" s="32"/>
      <c r="AV47" s="34"/>
      <c r="AW47" s="45"/>
      <c r="AX47" s="31"/>
      <c r="AY47" s="32"/>
      <c r="AZ47" s="31"/>
      <c r="BA47" s="32"/>
      <c r="BB47" s="31"/>
      <c r="BC47" s="32"/>
      <c r="BD47" s="34"/>
      <c r="BE47" s="45"/>
      <c r="BF47" s="31"/>
      <c r="BG47" s="32"/>
      <c r="BH47" s="31"/>
      <c r="BI47" s="32"/>
      <c r="BJ47" s="31"/>
      <c r="BK47" s="32"/>
      <c r="BL47" s="34"/>
      <c r="BM47" s="45"/>
      <c r="BN47" s="31"/>
      <c r="BO47" s="32"/>
      <c r="BP47" s="31"/>
      <c r="BQ47" s="32"/>
      <c r="BR47" s="31"/>
      <c r="BS47" s="32"/>
      <c r="BT47" s="34"/>
      <c r="BU47" s="45"/>
      <c r="BV47" s="31"/>
      <c r="BW47" s="32"/>
      <c r="BX47" s="31"/>
      <c r="BY47" s="32"/>
      <c r="BZ47" s="31"/>
      <c r="CA47" s="32"/>
      <c r="CB47" s="34"/>
      <c r="CC47" s="45"/>
      <c r="CD47" s="31"/>
      <c r="CE47" s="32"/>
      <c r="CF47" s="31"/>
      <c r="CG47" s="32"/>
      <c r="CH47" s="31"/>
      <c r="CI47" s="32"/>
      <c r="CJ47" s="34"/>
      <c r="CK47" s="45"/>
      <c r="CL47" s="31"/>
      <c r="CM47" s="32"/>
      <c r="CN47" s="31"/>
      <c r="CO47" s="32"/>
      <c r="CP47" s="31"/>
      <c r="CQ47" s="32"/>
      <c r="CR47" s="34"/>
      <c r="CS47" s="45"/>
      <c r="CT47" s="31"/>
      <c r="CU47" s="32"/>
      <c r="CV47" s="31"/>
      <c r="CW47" s="32"/>
      <c r="CX47" s="31"/>
      <c r="CY47" s="32"/>
      <c r="CZ47" s="34"/>
      <c r="DA47" s="45"/>
      <c r="DB47" s="31"/>
      <c r="DC47" s="32"/>
      <c r="DD47" s="31"/>
      <c r="DE47" s="32"/>
      <c r="DF47" s="31"/>
      <c r="DG47" s="32"/>
      <c r="DH47" s="34"/>
      <c r="DI47" s="45"/>
      <c r="DJ47" s="31"/>
      <c r="DK47" s="32"/>
      <c r="DL47" s="31"/>
      <c r="DM47" s="32"/>
      <c r="DN47" s="31"/>
      <c r="DO47" s="32"/>
      <c r="DP47" s="34"/>
      <c r="DQ47" s="45"/>
      <c r="DR47" s="31"/>
      <c r="DS47" s="32"/>
      <c r="DT47" s="31"/>
      <c r="DU47" s="32"/>
      <c r="DV47" s="31"/>
      <c r="DW47" s="32"/>
      <c r="DX47" s="34"/>
      <c r="DY47" s="45"/>
      <c r="DZ47" s="31"/>
      <c r="EA47" s="32"/>
      <c r="EB47" s="31"/>
      <c r="EC47" s="32"/>
      <c r="ED47" s="31"/>
      <c r="EE47" s="32"/>
      <c r="EF47" s="34"/>
      <c r="EG47" s="45"/>
      <c r="EH47" s="31"/>
      <c r="EI47" s="32"/>
      <c r="EJ47" s="31"/>
      <c r="EK47" s="32"/>
      <c r="EL47" s="31"/>
      <c r="EM47" s="32"/>
      <c r="EN47" s="34"/>
      <c r="EO47" s="45"/>
      <c r="EP47" s="31"/>
      <c r="EQ47" s="32"/>
      <c r="ER47" s="31"/>
      <c r="ES47" s="32"/>
      <c r="ET47" s="31"/>
      <c r="EU47" s="32"/>
      <c r="EV47" s="34"/>
      <c r="EW47" s="45"/>
      <c r="EX47" s="31"/>
      <c r="EY47" s="32"/>
      <c r="EZ47" s="31"/>
      <c r="FA47" s="32"/>
      <c r="FB47" s="31"/>
      <c r="FC47" s="32"/>
      <c r="FD47" s="34"/>
      <c r="FE47" s="45"/>
      <c r="FF47" s="31"/>
      <c r="FG47" s="32"/>
      <c r="FH47" s="31"/>
      <c r="FI47" s="32"/>
      <c r="FJ47" s="31"/>
      <c r="FK47" s="32"/>
      <c r="FL47" s="34"/>
      <c r="FM47" s="45"/>
      <c r="FN47" s="31"/>
      <c r="FO47" s="32"/>
      <c r="FP47" s="31"/>
      <c r="FQ47" s="32"/>
      <c r="FR47" s="31"/>
      <c r="FS47" s="32"/>
      <c r="FT47" s="34"/>
      <c r="FU47" s="45"/>
      <c r="FV47" s="31"/>
      <c r="FW47" s="32"/>
      <c r="FX47" s="31"/>
      <c r="FY47" s="32"/>
      <c r="FZ47" s="31"/>
      <c r="GA47" s="32"/>
      <c r="GB47" s="34"/>
      <c r="GC47" s="45"/>
      <c r="GD47" s="31"/>
      <c r="GE47" s="32"/>
      <c r="GF47" s="31"/>
      <c r="GG47" s="32"/>
      <c r="GH47" s="31"/>
      <c r="GI47" s="32"/>
      <c r="GJ47" s="34"/>
      <c r="GK47" s="45"/>
      <c r="GL47" s="31"/>
      <c r="GM47" s="32"/>
      <c r="GN47" s="31"/>
      <c r="GO47" s="32"/>
      <c r="GP47" s="31"/>
      <c r="GQ47" s="32"/>
      <c r="GR47" s="34"/>
      <c r="GS47" s="45"/>
      <c r="GT47" s="31"/>
      <c r="GU47" s="32"/>
      <c r="GV47" s="31"/>
      <c r="GW47" s="32"/>
      <c r="GX47" s="31"/>
      <c r="GY47" s="32"/>
      <c r="GZ47" s="34"/>
      <c r="HA47" s="45"/>
      <c r="HB47" s="31"/>
      <c r="HC47" s="32"/>
      <c r="HD47" s="31"/>
      <c r="HE47" s="32"/>
      <c r="HF47" s="31"/>
      <c r="HG47" s="32"/>
      <c r="HH47" s="34"/>
      <c r="HI47" s="45"/>
      <c r="HJ47" s="31"/>
      <c r="HK47" s="32"/>
      <c r="HL47" s="31"/>
      <c r="HM47" s="32"/>
      <c r="HN47" s="31"/>
      <c r="HO47" s="32"/>
      <c r="HP47" s="34"/>
      <c r="HQ47" s="45"/>
      <c r="HR47" s="31"/>
      <c r="HS47" s="32"/>
      <c r="HT47" s="31"/>
      <c r="HU47" s="32"/>
      <c r="HV47" s="31"/>
      <c r="HW47" s="32"/>
      <c r="HX47" s="34"/>
      <c r="HY47" s="45"/>
      <c r="HZ47" s="31"/>
      <c r="IA47" s="32"/>
      <c r="IB47" s="31"/>
      <c r="IC47" s="32"/>
      <c r="ID47" s="31"/>
      <c r="IE47" s="32"/>
      <c r="IF47" s="34"/>
      <c r="IG47" s="45"/>
      <c r="IH47" s="31"/>
      <c r="II47" s="32"/>
      <c r="IJ47" s="31"/>
      <c r="IK47" s="32"/>
      <c r="IL47" s="31"/>
      <c r="IM47" s="32"/>
      <c r="IN47" s="34"/>
      <c r="IO47" s="45"/>
      <c r="IP47" s="31"/>
      <c r="IQ47" s="32"/>
      <c r="IR47" s="31"/>
      <c r="IS47" s="32"/>
      <c r="IT47" s="31"/>
      <c r="IU47" s="32"/>
      <c r="IV47" s="34"/>
    </row>
    <row r="48" spans="1:256" s="15" customFormat="1" ht="12.75">
      <c r="A48" s="14"/>
      <c r="B48" s="31"/>
      <c r="C48" s="32"/>
      <c r="D48" s="31"/>
      <c r="E48" s="32"/>
      <c r="F48" s="31"/>
      <c r="G48" s="32"/>
      <c r="H48" s="76"/>
      <c r="J48" s="31"/>
      <c r="K48" s="32"/>
      <c r="L48" s="31"/>
      <c r="M48" s="32"/>
      <c r="N48" s="31"/>
      <c r="O48" s="32"/>
      <c r="P48" s="33"/>
      <c r="R48" s="31"/>
      <c r="S48" s="32"/>
      <c r="T48" s="31"/>
      <c r="U48" s="32"/>
      <c r="V48" s="31"/>
      <c r="W48" s="32"/>
      <c r="X48" s="33"/>
      <c r="Z48" s="31"/>
      <c r="AA48" s="32"/>
      <c r="AB48" s="31"/>
      <c r="AC48" s="32"/>
      <c r="AD48" s="31"/>
      <c r="AE48" s="32"/>
      <c r="AF48" s="33"/>
      <c r="AH48" s="31"/>
      <c r="AI48" s="32"/>
      <c r="AJ48" s="31"/>
      <c r="AK48" s="32"/>
      <c r="AL48" s="31"/>
      <c r="AM48" s="32"/>
      <c r="AN48" s="33"/>
      <c r="AP48" s="31"/>
      <c r="AQ48" s="32"/>
      <c r="AR48" s="31"/>
      <c r="AS48" s="32"/>
      <c r="AT48" s="31"/>
      <c r="AU48" s="32"/>
      <c r="AV48" s="33"/>
      <c r="AX48" s="31"/>
      <c r="AY48" s="32"/>
      <c r="AZ48" s="31"/>
      <c r="BA48" s="32"/>
      <c r="BB48" s="31"/>
      <c r="BC48" s="32"/>
      <c r="BD48" s="33"/>
      <c r="BF48" s="31"/>
      <c r="BG48" s="32"/>
      <c r="BH48" s="31"/>
      <c r="BI48" s="32"/>
      <c r="BJ48" s="31"/>
      <c r="BK48" s="32"/>
      <c r="BL48" s="33"/>
      <c r="BN48" s="31"/>
      <c r="BO48" s="32"/>
      <c r="BP48" s="31"/>
      <c r="BQ48" s="32"/>
      <c r="BR48" s="31"/>
      <c r="BS48" s="32"/>
      <c r="BT48" s="33"/>
      <c r="BV48" s="31"/>
      <c r="BW48" s="32"/>
      <c r="BX48" s="31"/>
      <c r="BY48" s="32"/>
      <c r="BZ48" s="31"/>
      <c r="CA48" s="32"/>
      <c r="CB48" s="33"/>
      <c r="CD48" s="31"/>
      <c r="CE48" s="32"/>
      <c r="CF48" s="31"/>
      <c r="CG48" s="32"/>
      <c r="CH48" s="31"/>
      <c r="CI48" s="32"/>
      <c r="CJ48" s="33"/>
      <c r="CL48" s="31"/>
      <c r="CM48" s="32"/>
      <c r="CN48" s="31"/>
      <c r="CO48" s="32"/>
      <c r="CP48" s="31"/>
      <c r="CQ48" s="32"/>
      <c r="CR48" s="33"/>
      <c r="CT48" s="31"/>
      <c r="CU48" s="32"/>
      <c r="CV48" s="31"/>
      <c r="CW48" s="32"/>
      <c r="CX48" s="31"/>
      <c r="CY48" s="32"/>
      <c r="CZ48" s="33"/>
      <c r="DB48" s="31"/>
      <c r="DC48" s="32"/>
      <c r="DD48" s="31"/>
      <c r="DE48" s="32"/>
      <c r="DF48" s="31"/>
      <c r="DG48" s="32"/>
      <c r="DH48" s="33"/>
      <c r="DJ48" s="31"/>
      <c r="DK48" s="32"/>
      <c r="DL48" s="31"/>
      <c r="DM48" s="32"/>
      <c r="DN48" s="31"/>
      <c r="DO48" s="32"/>
      <c r="DP48" s="33"/>
      <c r="DR48" s="31"/>
      <c r="DS48" s="32"/>
      <c r="DT48" s="31"/>
      <c r="DU48" s="32"/>
      <c r="DV48" s="31"/>
      <c r="DW48" s="32"/>
      <c r="DX48" s="33"/>
      <c r="DZ48" s="31"/>
      <c r="EA48" s="32"/>
      <c r="EB48" s="31"/>
      <c r="EC48" s="32"/>
      <c r="ED48" s="31"/>
      <c r="EE48" s="32"/>
      <c r="EF48" s="33"/>
      <c r="EH48" s="31"/>
      <c r="EI48" s="32"/>
      <c r="EJ48" s="31"/>
      <c r="EK48" s="32"/>
      <c r="EL48" s="31"/>
      <c r="EM48" s="32"/>
      <c r="EN48" s="33"/>
      <c r="EP48" s="31"/>
      <c r="EQ48" s="32"/>
      <c r="ER48" s="31"/>
      <c r="ES48" s="32"/>
      <c r="ET48" s="31"/>
      <c r="EU48" s="32"/>
      <c r="EV48" s="33"/>
      <c r="EX48" s="31"/>
      <c r="EY48" s="32"/>
      <c r="EZ48" s="31"/>
      <c r="FA48" s="32"/>
      <c r="FB48" s="31"/>
      <c r="FC48" s="32"/>
      <c r="FD48" s="33"/>
      <c r="FF48" s="31"/>
      <c r="FG48" s="32"/>
      <c r="FH48" s="31"/>
      <c r="FI48" s="32"/>
      <c r="FJ48" s="31"/>
      <c r="FK48" s="32"/>
      <c r="FL48" s="33"/>
      <c r="FN48" s="31"/>
      <c r="FO48" s="32"/>
      <c r="FP48" s="31"/>
      <c r="FQ48" s="32"/>
      <c r="FR48" s="31"/>
      <c r="FS48" s="32"/>
      <c r="FT48" s="33"/>
      <c r="FV48" s="31"/>
      <c r="FW48" s="32"/>
      <c r="FX48" s="31"/>
      <c r="FY48" s="32"/>
      <c r="FZ48" s="31"/>
      <c r="GA48" s="32"/>
      <c r="GB48" s="33"/>
      <c r="GD48" s="31"/>
      <c r="GE48" s="32"/>
      <c r="GF48" s="31"/>
      <c r="GG48" s="32"/>
      <c r="GH48" s="31"/>
      <c r="GI48" s="32"/>
      <c r="GJ48" s="33"/>
      <c r="GL48" s="31"/>
      <c r="GM48" s="32"/>
      <c r="GN48" s="31"/>
      <c r="GO48" s="32"/>
      <c r="GP48" s="31"/>
      <c r="GQ48" s="32"/>
      <c r="GR48" s="33"/>
      <c r="GT48" s="31"/>
      <c r="GU48" s="32"/>
      <c r="GV48" s="31"/>
      <c r="GW48" s="32"/>
      <c r="GX48" s="31"/>
      <c r="GY48" s="32"/>
      <c r="GZ48" s="33"/>
      <c r="HB48" s="31"/>
      <c r="HC48" s="32"/>
      <c r="HD48" s="31"/>
      <c r="HE48" s="32"/>
      <c r="HF48" s="31"/>
      <c r="HG48" s="32"/>
      <c r="HH48" s="33"/>
      <c r="HJ48" s="31"/>
      <c r="HK48" s="32"/>
      <c r="HL48" s="31"/>
      <c r="HM48" s="32"/>
      <c r="HN48" s="31"/>
      <c r="HO48" s="32"/>
      <c r="HP48" s="33"/>
      <c r="HR48" s="31"/>
      <c r="HS48" s="32"/>
      <c r="HT48" s="31"/>
      <c r="HU48" s="32"/>
      <c r="HV48" s="31"/>
      <c r="HW48" s="32"/>
      <c r="HX48" s="33"/>
      <c r="HZ48" s="31"/>
      <c r="IA48" s="32"/>
      <c r="IB48" s="31"/>
      <c r="IC48" s="32"/>
      <c r="ID48" s="31"/>
      <c r="IE48" s="32"/>
      <c r="IF48" s="33"/>
      <c r="IH48" s="31"/>
      <c r="II48" s="32"/>
      <c r="IJ48" s="31"/>
      <c r="IK48" s="32"/>
      <c r="IL48" s="31"/>
      <c r="IM48" s="32"/>
      <c r="IN48" s="33"/>
      <c r="IP48" s="31"/>
      <c r="IQ48" s="32"/>
      <c r="IR48" s="31"/>
      <c r="IS48" s="32"/>
      <c r="IT48" s="31"/>
      <c r="IU48" s="32"/>
      <c r="IV48" s="33"/>
    </row>
    <row r="49" spans="1:256" s="15" customFormat="1" ht="13.5" thickBot="1">
      <c r="A49" s="52"/>
      <c r="B49" s="53"/>
      <c r="C49" s="54"/>
      <c r="D49" s="53"/>
      <c r="E49" s="54"/>
      <c r="F49" s="53"/>
      <c r="G49" s="54"/>
      <c r="H49" s="71"/>
      <c r="I49" s="45"/>
      <c r="J49" s="31"/>
      <c r="K49" s="32"/>
      <c r="L49" s="31"/>
      <c r="M49" s="32"/>
      <c r="N49" s="31"/>
      <c r="O49" s="32"/>
      <c r="P49" s="34"/>
      <c r="Q49" s="45"/>
      <c r="R49" s="31"/>
      <c r="S49" s="32"/>
      <c r="T49" s="31"/>
      <c r="U49" s="32"/>
      <c r="V49" s="31"/>
      <c r="W49" s="32"/>
      <c r="X49" s="34"/>
      <c r="Y49" s="45"/>
      <c r="Z49" s="31"/>
      <c r="AA49" s="32"/>
      <c r="AB49" s="31"/>
      <c r="AC49" s="32"/>
      <c r="AD49" s="31"/>
      <c r="AE49" s="32"/>
      <c r="AF49" s="34"/>
      <c r="AG49" s="45"/>
      <c r="AH49" s="31"/>
      <c r="AI49" s="32"/>
      <c r="AJ49" s="31"/>
      <c r="AK49" s="32"/>
      <c r="AL49" s="31"/>
      <c r="AM49" s="32"/>
      <c r="AN49" s="34"/>
      <c r="AO49" s="45"/>
      <c r="AP49" s="31"/>
      <c r="AQ49" s="32"/>
      <c r="AR49" s="31"/>
      <c r="AS49" s="32"/>
      <c r="AT49" s="31"/>
      <c r="AU49" s="32"/>
      <c r="AV49" s="34"/>
      <c r="AW49" s="45"/>
      <c r="AX49" s="31"/>
      <c r="AY49" s="32"/>
      <c r="AZ49" s="31"/>
      <c r="BA49" s="32"/>
      <c r="BB49" s="31"/>
      <c r="BC49" s="32"/>
      <c r="BD49" s="34"/>
      <c r="BE49" s="45"/>
      <c r="BF49" s="31"/>
      <c r="BG49" s="32"/>
      <c r="BH49" s="31"/>
      <c r="BI49" s="32"/>
      <c r="BJ49" s="31"/>
      <c r="BK49" s="32"/>
      <c r="BL49" s="34"/>
      <c r="BM49" s="45"/>
      <c r="BN49" s="31"/>
      <c r="BO49" s="32"/>
      <c r="BP49" s="31"/>
      <c r="BQ49" s="32"/>
      <c r="BR49" s="31"/>
      <c r="BS49" s="32"/>
      <c r="BT49" s="34"/>
      <c r="BU49" s="45"/>
      <c r="BV49" s="31"/>
      <c r="BW49" s="32"/>
      <c r="BX49" s="31"/>
      <c r="BY49" s="32"/>
      <c r="BZ49" s="31"/>
      <c r="CA49" s="32"/>
      <c r="CB49" s="34"/>
      <c r="CC49" s="45"/>
      <c r="CD49" s="31"/>
      <c r="CE49" s="32"/>
      <c r="CF49" s="31"/>
      <c r="CG49" s="32"/>
      <c r="CH49" s="31"/>
      <c r="CI49" s="32"/>
      <c r="CJ49" s="34"/>
      <c r="CK49" s="45"/>
      <c r="CL49" s="31"/>
      <c r="CM49" s="32"/>
      <c r="CN49" s="31"/>
      <c r="CO49" s="32"/>
      <c r="CP49" s="31"/>
      <c r="CQ49" s="32"/>
      <c r="CR49" s="34"/>
      <c r="CS49" s="45"/>
      <c r="CT49" s="31"/>
      <c r="CU49" s="32"/>
      <c r="CV49" s="31"/>
      <c r="CW49" s="32"/>
      <c r="CX49" s="31"/>
      <c r="CY49" s="32"/>
      <c r="CZ49" s="34"/>
      <c r="DA49" s="45"/>
      <c r="DB49" s="31"/>
      <c r="DC49" s="32"/>
      <c r="DD49" s="31"/>
      <c r="DE49" s="32"/>
      <c r="DF49" s="31"/>
      <c r="DG49" s="32"/>
      <c r="DH49" s="34"/>
      <c r="DI49" s="45"/>
      <c r="DJ49" s="31"/>
      <c r="DK49" s="32"/>
      <c r="DL49" s="31"/>
      <c r="DM49" s="32"/>
      <c r="DN49" s="31"/>
      <c r="DO49" s="32"/>
      <c r="DP49" s="34"/>
      <c r="DQ49" s="45"/>
      <c r="DR49" s="31"/>
      <c r="DS49" s="32"/>
      <c r="DT49" s="31"/>
      <c r="DU49" s="32"/>
      <c r="DV49" s="31"/>
      <c r="DW49" s="32"/>
      <c r="DX49" s="34"/>
      <c r="DY49" s="45"/>
      <c r="DZ49" s="31"/>
      <c r="EA49" s="32"/>
      <c r="EB49" s="31"/>
      <c r="EC49" s="32"/>
      <c r="ED49" s="31"/>
      <c r="EE49" s="32"/>
      <c r="EF49" s="34"/>
      <c r="EG49" s="45"/>
      <c r="EH49" s="31"/>
      <c r="EI49" s="32"/>
      <c r="EJ49" s="31"/>
      <c r="EK49" s="32"/>
      <c r="EL49" s="31"/>
      <c r="EM49" s="32"/>
      <c r="EN49" s="34"/>
      <c r="EO49" s="45"/>
      <c r="EP49" s="31"/>
      <c r="EQ49" s="32"/>
      <c r="ER49" s="31"/>
      <c r="ES49" s="32"/>
      <c r="ET49" s="31"/>
      <c r="EU49" s="32"/>
      <c r="EV49" s="34"/>
      <c r="EW49" s="45"/>
      <c r="EX49" s="31"/>
      <c r="EY49" s="32"/>
      <c r="EZ49" s="31"/>
      <c r="FA49" s="32"/>
      <c r="FB49" s="31"/>
      <c r="FC49" s="32"/>
      <c r="FD49" s="34"/>
      <c r="FE49" s="45"/>
      <c r="FF49" s="31"/>
      <c r="FG49" s="32"/>
      <c r="FH49" s="31"/>
      <c r="FI49" s="32"/>
      <c r="FJ49" s="31"/>
      <c r="FK49" s="32"/>
      <c r="FL49" s="34"/>
      <c r="FM49" s="45"/>
      <c r="FN49" s="31"/>
      <c r="FO49" s="32"/>
      <c r="FP49" s="31"/>
      <c r="FQ49" s="32"/>
      <c r="FR49" s="31"/>
      <c r="FS49" s="32"/>
      <c r="FT49" s="34"/>
      <c r="FU49" s="45"/>
      <c r="FV49" s="31"/>
      <c r="FW49" s="32"/>
      <c r="FX49" s="31"/>
      <c r="FY49" s="32"/>
      <c r="FZ49" s="31"/>
      <c r="GA49" s="32"/>
      <c r="GB49" s="34"/>
      <c r="GC49" s="45"/>
      <c r="GD49" s="31"/>
      <c r="GE49" s="32"/>
      <c r="GF49" s="31"/>
      <c r="GG49" s="32"/>
      <c r="GH49" s="31"/>
      <c r="GI49" s="32"/>
      <c r="GJ49" s="34"/>
      <c r="GK49" s="45"/>
      <c r="GL49" s="31"/>
      <c r="GM49" s="32"/>
      <c r="GN49" s="31"/>
      <c r="GO49" s="32"/>
      <c r="GP49" s="31"/>
      <c r="GQ49" s="32"/>
      <c r="GR49" s="34"/>
      <c r="GS49" s="45"/>
      <c r="GT49" s="31"/>
      <c r="GU49" s="32"/>
      <c r="GV49" s="31"/>
      <c r="GW49" s="32"/>
      <c r="GX49" s="31"/>
      <c r="GY49" s="32"/>
      <c r="GZ49" s="34"/>
      <c r="HA49" s="45"/>
      <c r="HB49" s="31"/>
      <c r="HC49" s="32"/>
      <c r="HD49" s="31"/>
      <c r="HE49" s="32"/>
      <c r="HF49" s="31"/>
      <c r="HG49" s="32"/>
      <c r="HH49" s="34"/>
      <c r="HI49" s="45"/>
      <c r="HJ49" s="31"/>
      <c r="HK49" s="32"/>
      <c r="HL49" s="31"/>
      <c r="HM49" s="32"/>
      <c r="HN49" s="31"/>
      <c r="HO49" s="32"/>
      <c r="HP49" s="34"/>
      <c r="HQ49" s="45"/>
      <c r="HR49" s="31"/>
      <c r="HS49" s="32"/>
      <c r="HT49" s="31"/>
      <c r="HU49" s="32"/>
      <c r="HV49" s="31"/>
      <c r="HW49" s="32"/>
      <c r="HX49" s="34"/>
      <c r="HY49" s="45"/>
      <c r="HZ49" s="31"/>
      <c r="IA49" s="32"/>
      <c r="IB49" s="31"/>
      <c r="IC49" s="32"/>
      <c r="ID49" s="31"/>
      <c r="IE49" s="32"/>
      <c r="IF49" s="34"/>
      <c r="IG49" s="45"/>
      <c r="IH49" s="31"/>
      <c r="II49" s="32"/>
      <c r="IJ49" s="31"/>
      <c r="IK49" s="32"/>
      <c r="IL49" s="31"/>
      <c r="IM49" s="32"/>
      <c r="IN49" s="34"/>
      <c r="IO49" s="45"/>
      <c r="IP49" s="31"/>
      <c r="IQ49" s="32"/>
      <c r="IR49" s="31"/>
      <c r="IS49" s="32"/>
      <c r="IT49" s="31"/>
      <c r="IU49" s="32"/>
      <c r="IV49" s="34"/>
    </row>
  </sheetData>
  <mergeCells count="7">
    <mergeCell ref="J3:J4"/>
    <mergeCell ref="N2:R2"/>
    <mergeCell ref="K3:L4"/>
    <mergeCell ref="Q3:Q4"/>
    <mergeCell ref="R3:R4"/>
    <mergeCell ref="N3:N4"/>
    <mergeCell ref="O3:O4"/>
  </mergeCells>
  <printOptions horizontalCentered="1"/>
  <pageMargins left="0.25" right="0.25" top="1" bottom="1" header="0.5" footer="0.5"/>
  <pageSetup fitToHeight="0" fitToWidth="1" horizontalDpi="600" verticalDpi="600" orientation="landscape" paperSize="5" r:id="rId3"/>
  <headerFooter alignWithMargins="0">
    <oddHeader>&amp;C&amp;"Arial,Bold"&amp;12FY09 Records
Department Allocation</oddHeader>
    <oddFooter>&amp;C&amp;12Note:  Allocation amount is the same as in FY08 due to constraint requirement.  The actual allocation for FY09 should be $686,699.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L1" sqref="L1:L16384"/>
    </sheetView>
  </sheetViews>
  <sheetFormatPr defaultColWidth="9.140625" defaultRowHeight="12.75" outlineLevelRow="1" outlineLevelCol="1"/>
  <cols>
    <col min="1" max="1" width="42.7109375" style="0" bestFit="1" customWidth="1"/>
    <col min="2" max="8" width="9.140625" style="0" hidden="1" customWidth="1" outlineLevel="1"/>
    <col min="9" max="9" width="12.7109375" style="0" customWidth="1" collapsed="1"/>
    <col min="10" max="10" width="12.7109375" style="0" customWidth="1"/>
    <col min="11" max="11" width="2.57421875" style="0" customWidth="1"/>
    <col min="12" max="12" width="10.8515625" style="0" hidden="1" customWidth="1"/>
  </cols>
  <sheetData>
    <row r="1" spans="1:10" ht="13.5" customHeight="1">
      <c r="A1" s="89" t="s">
        <v>0</v>
      </c>
      <c r="I1" s="150" t="s">
        <v>204</v>
      </c>
      <c r="J1" s="151"/>
    </row>
    <row r="2" spans="1:10" ht="18.75" customHeight="1" thickBot="1">
      <c r="A2" s="111" t="s">
        <v>314</v>
      </c>
      <c r="I2" s="152"/>
      <c r="J2" s="153"/>
    </row>
    <row r="3" spans="1:10" ht="12.75" customHeight="1">
      <c r="A3" s="118" t="s">
        <v>322</v>
      </c>
      <c r="B3" s="1"/>
      <c r="C3" s="3"/>
      <c r="D3" s="1"/>
      <c r="E3" s="3"/>
      <c r="F3" s="9" t="s">
        <v>280</v>
      </c>
      <c r="G3" s="3"/>
      <c r="H3" s="3"/>
      <c r="I3" s="154" t="s">
        <v>312</v>
      </c>
      <c r="J3" s="155"/>
    </row>
    <row r="4" spans="1:10" ht="12.75">
      <c r="A4" s="88"/>
      <c r="B4" s="1" t="s">
        <v>2</v>
      </c>
      <c r="C4" s="3" t="s">
        <v>200</v>
      </c>
      <c r="D4" s="1" t="s">
        <v>117</v>
      </c>
      <c r="E4" s="3" t="s">
        <v>200</v>
      </c>
      <c r="F4" s="1" t="s">
        <v>117</v>
      </c>
      <c r="G4" s="3" t="s">
        <v>200</v>
      </c>
      <c r="H4" s="3" t="s">
        <v>202</v>
      </c>
      <c r="I4" s="156" t="s">
        <v>318</v>
      </c>
      <c r="J4" s="157"/>
    </row>
    <row r="5" spans="1:12" ht="13.5" thickBot="1">
      <c r="A5" s="94" t="s">
        <v>197</v>
      </c>
      <c r="B5" s="100" t="s">
        <v>3</v>
      </c>
      <c r="C5" s="105" t="s">
        <v>152</v>
      </c>
      <c r="D5" s="100" t="s">
        <v>118</v>
      </c>
      <c r="E5" s="105" t="s">
        <v>152</v>
      </c>
      <c r="F5" s="100" t="s">
        <v>163</v>
      </c>
      <c r="G5" s="105" t="s">
        <v>152</v>
      </c>
      <c r="H5" s="106" t="s">
        <v>201</v>
      </c>
      <c r="I5" s="148">
        <f>SUM(J8:J36)</f>
        <v>54287.828399999984</v>
      </c>
      <c r="J5" s="149"/>
      <c r="L5" t="s">
        <v>326</v>
      </c>
    </row>
    <row r="6" spans="1:10" ht="12.75">
      <c r="A6" s="131"/>
      <c r="B6" s="124"/>
      <c r="C6" s="130"/>
      <c r="D6" s="124"/>
      <c r="E6" s="130"/>
      <c r="F6" s="124"/>
      <c r="G6" s="130"/>
      <c r="H6" s="130"/>
      <c r="I6" s="132"/>
      <c r="J6" s="133"/>
    </row>
    <row r="7" spans="1:10" ht="12.75">
      <c r="A7" s="113" t="s">
        <v>325</v>
      </c>
      <c r="B7" s="2"/>
      <c r="C7" s="7"/>
      <c r="D7" s="2"/>
      <c r="E7" s="7"/>
      <c r="F7" s="2"/>
      <c r="G7" s="7"/>
      <c r="I7" s="17"/>
      <c r="J7" s="12"/>
    </row>
    <row r="8" spans="1:12" ht="12.75" outlineLevel="1">
      <c r="A8" s="92" t="s">
        <v>106</v>
      </c>
      <c r="B8" s="9">
        <f>10+11</f>
        <v>21</v>
      </c>
      <c r="C8" s="7">
        <f>B8/14435</f>
        <v>0.0014547973675095255</v>
      </c>
      <c r="D8" s="9">
        <v>1</v>
      </c>
      <c r="E8" s="7">
        <f>D8/4594</f>
        <v>0.00021767522855898998</v>
      </c>
      <c r="F8" s="9">
        <v>27</v>
      </c>
      <c r="G8" s="7">
        <f>F8/29322</f>
        <v>0.0009208103130755065</v>
      </c>
      <c r="H8" s="5">
        <f aca="true" t="shared" si="0" ref="H8:H36">+(C8+E8+G8)/3</f>
        <v>0.0008644276363813406</v>
      </c>
      <c r="I8" s="10">
        <f>H8/$H$37</f>
        <v>0.010895169982029183</v>
      </c>
      <c r="J8" s="109">
        <f>I8*$J$37</f>
        <v>591.4751183732313</v>
      </c>
      <c r="L8">
        <v>600000</v>
      </c>
    </row>
    <row r="9" spans="1:12" ht="12.75" outlineLevel="1">
      <c r="A9" s="92" t="s">
        <v>241</v>
      </c>
      <c r="B9" s="9">
        <v>1</v>
      </c>
      <c r="C9" s="7">
        <f aca="true" t="shared" si="1" ref="C9:C36">B9/14435</f>
        <v>6.927606511950121E-05</v>
      </c>
      <c r="D9" s="9"/>
      <c r="E9" s="7">
        <f aca="true" t="shared" si="2" ref="E9:E36">D9/4594</f>
        <v>0</v>
      </c>
      <c r="F9" s="9"/>
      <c r="G9" s="7">
        <f aca="true" t="shared" si="3" ref="G9:G36">F9/29322</f>
        <v>0</v>
      </c>
      <c r="H9" s="5">
        <f t="shared" si="0"/>
        <v>2.3092021706500406E-05</v>
      </c>
      <c r="I9" s="10">
        <f aca="true" t="shared" si="4" ref="I9:I36">H9/$H$37</f>
        <v>0.00029104981276887405</v>
      </c>
      <c r="J9" s="109">
        <f aca="true" t="shared" si="5" ref="J9:J36">I9*$J$37</f>
        <v>15.800462291448763</v>
      </c>
      <c r="L9">
        <v>601380</v>
      </c>
    </row>
    <row r="10" spans="1:12" ht="12.75" outlineLevel="1">
      <c r="A10" s="92" t="s">
        <v>279</v>
      </c>
      <c r="B10" s="9">
        <f>5+6</f>
        <v>11</v>
      </c>
      <c r="C10" s="7">
        <f t="shared" si="1"/>
        <v>0.0007620367163145134</v>
      </c>
      <c r="D10" s="9">
        <v>5</v>
      </c>
      <c r="E10" s="7">
        <f t="shared" si="2"/>
        <v>0.00108837614279495</v>
      </c>
      <c r="F10" s="9">
        <v>10</v>
      </c>
      <c r="G10" s="7">
        <f t="shared" si="3"/>
        <v>0.00034104085669463204</v>
      </c>
      <c r="H10" s="5">
        <f t="shared" si="0"/>
        <v>0.0007304845719346984</v>
      </c>
      <c r="I10" s="10">
        <f t="shared" si="4"/>
        <v>0.009206963365719342</v>
      </c>
      <c r="J10" s="109">
        <f t="shared" si="5"/>
        <v>499.8260472832581</v>
      </c>
      <c r="L10">
        <v>601390</v>
      </c>
    </row>
    <row r="11" spans="1:12" ht="12.75" outlineLevel="1">
      <c r="A11" s="92" t="s">
        <v>265</v>
      </c>
      <c r="B11" s="9">
        <f>16+22</f>
        <v>38</v>
      </c>
      <c r="C11" s="7">
        <f t="shared" si="1"/>
        <v>0.002632490474541046</v>
      </c>
      <c r="D11" s="9"/>
      <c r="E11" s="7">
        <f t="shared" si="2"/>
        <v>0</v>
      </c>
      <c r="F11" s="9"/>
      <c r="G11" s="7">
        <f t="shared" si="3"/>
        <v>0</v>
      </c>
      <c r="H11" s="5">
        <f t="shared" si="0"/>
        <v>0.0008774968248470154</v>
      </c>
      <c r="I11" s="10">
        <f t="shared" si="4"/>
        <v>0.011059892885217215</v>
      </c>
      <c r="J11" s="109">
        <f t="shared" si="5"/>
        <v>600.4175670750531</v>
      </c>
      <c r="L11">
        <v>601450</v>
      </c>
    </row>
    <row r="12" spans="1:12" ht="12.75" outlineLevel="1">
      <c r="A12" s="92" t="s">
        <v>76</v>
      </c>
      <c r="B12" s="9"/>
      <c r="C12" s="7">
        <f t="shared" si="1"/>
        <v>0</v>
      </c>
      <c r="D12" s="9"/>
      <c r="E12" s="7">
        <f t="shared" si="2"/>
        <v>0</v>
      </c>
      <c r="F12" s="9">
        <v>55</v>
      </c>
      <c r="G12" s="7">
        <f t="shared" si="3"/>
        <v>0.001875724711820476</v>
      </c>
      <c r="H12" s="5">
        <f t="shared" si="0"/>
        <v>0.0006252415706068254</v>
      </c>
      <c r="I12" s="10">
        <f t="shared" si="4"/>
        <v>0.007880489823427064</v>
      </c>
      <c r="J12" s="109">
        <f t="shared" si="5"/>
        <v>427.81467924215474</v>
      </c>
      <c r="L12">
        <v>601690</v>
      </c>
    </row>
    <row r="13" spans="1:12" ht="12.75" outlineLevel="1">
      <c r="A13" s="92" t="s">
        <v>71</v>
      </c>
      <c r="B13" s="9">
        <f>2+2</f>
        <v>4</v>
      </c>
      <c r="C13" s="7">
        <f t="shared" si="1"/>
        <v>0.00027710426047800486</v>
      </c>
      <c r="D13" s="9">
        <f>8+8+34+2+2+2+2+2+2+7+3+3</f>
        <v>75</v>
      </c>
      <c r="E13" s="7">
        <f t="shared" si="2"/>
        <v>0.016325642141924248</v>
      </c>
      <c r="F13" s="9">
        <v>668</v>
      </c>
      <c r="G13" s="7">
        <f t="shared" si="3"/>
        <v>0.02278152922720142</v>
      </c>
      <c r="H13" s="5">
        <f t="shared" si="0"/>
        <v>0.013128091876534556</v>
      </c>
      <c r="I13" s="10">
        <f t="shared" si="4"/>
        <v>0.16546531660336902</v>
      </c>
      <c r="J13" s="109">
        <f t="shared" si="5"/>
        <v>8982.752713915368</v>
      </c>
      <c r="L13">
        <v>601473</v>
      </c>
    </row>
    <row r="14" spans="1:12" ht="12.75" outlineLevel="1">
      <c r="A14" s="92" t="s">
        <v>149</v>
      </c>
      <c r="B14" s="9">
        <v>1</v>
      </c>
      <c r="C14" s="7">
        <f t="shared" si="1"/>
        <v>6.927606511950121E-05</v>
      </c>
      <c r="D14" s="9">
        <v>10</v>
      </c>
      <c r="E14" s="7">
        <f t="shared" si="2"/>
        <v>0.0021767522855899</v>
      </c>
      <c r="F14" s="9">
        <v>218</v>
      </c>
      <c r="G14" s="7">
        <f t="shared" si="3"/>
        <v>0.007434690675942978</v>
      </c>
      <c r="H14" s="5">
        <f t="shared" si="0"/>
        <v>0.0032269063422174595</v>
      </c>
      <c r="I14" s="10">
        <f t="shared" si="4"/>
        <v>0.04067164402762975</v>
      </c>
      <c r="J14" s="109">
        <f t="shared" si="5"/>
        <v>2207.9752317178486</v>
      </c>
      <c r="L14" s="134">
        <v>601477</v>
      </c>
    </row>
    <row r="15" spans="1:12" ht="12.75" outlineLevel="1">
      <c r="A15" s="92" t="s">
        <v>174</v>
      </c>
      <c r="B15" s="9"/>
      <c r="C15" s="7">
        <f t="shared" si="1"/>
        <v>0</v>
      </c>
      <c r="D15" s="9"/>
      <c r="E15" s="7">
        <f t="shared" si="2"/>
        <v>0</v>
      </c>
      <c r="F15" s="9">
        <v>5</v>
      </c>
      <c r="G15" s="7">
        <f t="shared" si="3"/>
        <v>0.00017052042834731602</v>
      </c>
      <c r="H15" s="5">
        <f t="shared" si="0"/>
        <v>5.6840142782438675E-05</v>
      </c>
      <c r="I15" s="10">
        <f t="shared" si="4"/>
        <v>0.0007164081657660967</v>
      </c>
      <c r="J15" s="109">
        <f t="shared" si="5"/>
        <v>38.89224356746861</v>
      </c>
      <c r="L15">
        <v>601400</v>
      </c>
    </row>
    <row r="16" spans="1:12" ht="12.75" outlineLevel="1">
      <c r="A16" s="92" t="s">
        <v>150</v>
      </c>
      <c r="B16" s="9"/>
      <c r="C16" s="7">
        <f t="shared" si="1"/>
        <v>0</v>
      </c>
      <c r="D16" s="9">
        <f>4+30</f>
        <v>34</v>
      </c>
      <c r="E16" s="7">
        <f t="shared" si="2"/>
        <v>0.007400957771005659</v>
      </c>
      <c r="F16" s="9">
        <v>209</v>
      </c>
      <c r="G16" s="7">
        <f t="shared" si="3"/>
        <v>0.007127753904917809</v>
      </c>
      <c r="H16" s="5">
        <f t="shared" si="0"/>
        <v>0.004842903891974489</v>
      </c>
      <c r="I16" s="10">
        <f t="shared" si="4"/>
        <v>0.06103953516638367</v>
      </c>
      <c r="J16" s="109">
        <f t="shared" si="5"/>
        <v>3313.703810728402</v>
      </c>
      <c r="L16">
        <v>601465</v>
      </c>
    </row>
    <row r="17" spans="1:12" ht="12.75" outlineLevel="1">
      <c r="A17" s="92" t="s">
        <v>180</v>
      </c>
      <c r="B17" s="9"/>
      <c r="C17" s="7">
        <f t="shared" si="1"/>
        <v>0</v>
      </c>
      <c r="D17" s="9"/>
      <c r="E17" s="7">
        <f t="shared" si="2"/>
        <v>0</v>
      </c>
      <c r="F17" s="9">
        <v>2</v>
      </c>
      <c r="G17" s="7">
        <f t="shared" si="3"/>
        <v>6.82081713389264E-05</v>
      </c>
      <c r="H17" s="5">
        <f t="shared" si="0"/>
        <v>2.2736057112975465E-05</v>
      </c>
      <c r="I17" s="10">
        <f t="shared" si="4"/>
        <v>0.00028656326630643864</v>
      </c>
      <c r="J17" s="109">
        <f t="shared" si="5"/>
        <v>15.556897426987442</v>
      </c>
      <c r="L17">
        <v>601490</v>
      </c>
    </row>
    <row r="18" spans="1:12" ht="12.75" outlineLevel="1">
      <c r="A18" s="92" t="s">
        <v>183</v>
      </c>
      <c r="B18" s="9"/>
      <c r="C18" s="7">
        <f t="shared" si="1"/>
        <v>0</v>
      </c>
      <c r="D18" s="9"/>
      <c r="E18" s="7">
        <f t="shared" si="2"/>
        <v>0</v>
      </c>
      <c r="F18" s="9">
        <v>6</v>
      </c>
      <c r="G18" s="7">
        <f t="shared" si="3"/>
        <v>0.0002046245140167792</v>
      </c>
      <c r="H18" s="5">
        <f t="shared" si="0"/>
        <v>6.82081713389264E-05</v>
      </c>
      <c r="I18" s="10">
        <f t="shared" si="4"/>
        <v>0.0008596897989193159</v>
      </c>
      <c r="J18" s="109">
        <f t="shared" si="5"/>
        <v>46.67069228096232</v>
      </c>
      <c r="L18" s="134">
        <v>601477</v>
      </c>
    </row>
    <row r="19" spans="1:12" ht="12.75" outlineLevel="1">
      <c r="A19" s="92" t="s">
        <v>258</v>
      </c>
      <c r="B19" s="9">
        <f>1+2</f>
        <v>3</v>
      </c>
      <c r="C19" s="7">
        <f t="shared" si="1"/>
        <v>0.00020782819535850364</v>
      </c>
      <c r="D19" s="9"/>
      <c r="E19" s="7">
        <f t="shared" si="2"/>
        <v>0</v>
      </c>
      <c r="F19" s="9">
        <v>22</v>
      </c>
      <c r="G19" s="7">
        <f t="shared" si="3"/>
        <v>0.0007502898847281905</v>
      </c>
      <c r="H19" s="5">
        <f t="shared" si="0"/>
        <v>0.00031937269336223135</v>
      </c>
      <c r="I19" s="10">
        <f t="shared" si="4"/>
        <v>0.004025345367677447</v>
      </c>
      <c r="J19" s="109">
        <f t="shared" si="5"/>
        <v>218.52725857120814</v>
      </c>
      <c r="L19">
        <v>601773</v>
      </c>
    </row>
    <row r="20" spans="1:12" ht="12.75" outlineLevel="1">
      <c r="A20" s="92" t="s">
        <v>171</v>
      </c>
      <c r="B20" s="9">
        <f>1+3</f>
        <v>4</v>
      </c>
      <c r="C20" s="7">
        <f t="shared" si="1"/>
        <v>0.00027710426047800486</v>
      </c>
      <c r="D20" s="9">
        <f>1+1+1+2+1+1+1+1+3+1</f>
        <v>13</v>
      </c>
      <c r="E20" s="7">
        <f t="shared" si="2"/>
        <v>0.0028297779712668698</v>
      </c>
      <c r="F20" s="9">
        <v>125</v>
      </c>
      <c r="G20" s="7">
        <f t="shared" si="3"/>
        <v>0.0042630107086829</v>
      </c>
      <c r="H20" s="5">
        <f t="shared" si="0"/>
        <v>0.0024566309801425917</v>
      </c>
      <c r="I20" s="10">
        <f t="shared" si="4"/>
        <v>0.030963161038924703</v>
      </c>
      <c r="J20" s="109">
        <f t="shared" si="5"/>
        <v>1680.92277320271</v>
      </c>
      <c r="L20">
        <v>601484</v>
      </c>
    </row>
    <row r="21" spans="1:12" ht="12.75" outlineLevel="1">
      <c r="A21" s="92" t="s">
        <v>229</v>
      </c>
      <c r="B21" s="9"/>
      <c r="C21" s="7">
        <f t="shared" si="1"/>
        <v>0</v>
      </c>
      <c r="D21" s="9">
        <f>2</f>
        <v>2</v>
      </c>
      <c r="E21" s="7">
        <f t="shared" si="2"/>
        <v>0.00043535045711797995</v>
      </c>
      <c r="F21" s="9">
        <v>60</v>
      </c>
      <c r="G21" s="7">
        <f t="shared" si="3"/>
        <v>0.0020462451401677922</v>
      </c>
      <c r="H21" s="5">
        <f t="shared" si="0"/>
        <v>0.0008271985324285907</v>
      </c>
      <c r="I21" s="10">
        <f t="shared" si="4"/>
        <v>0.010425937626684974</v>
      </c>
      <c r="J21" s="109">
        <f t="shared" si="5"/>
        <v>566.0015127865771</v>
      </c>
      <c r="L21">
        <v>601490</v>
      </c>
    </row>
    <row r="22" spans="1:12" ht="12.75" outlineLevel="1">
      <c r="A22" s="92" t="s">
        <v>77</v>
      </c>
      <c r="B22" s="9">
        <f>25+31</f>
        <v>56</v>
      </c>
      <c r="C22" s="7">
        <f t="shared" si="1"/>
        <v>0.003879459646692068</v>
      </c>
      <c r="D22" s="9">
        <f>2+4+5+15+10+13+1+1+6+10</f>
        <v>67</v>
      </c>
      <c r="E22" s="7">
        <f t="shared" si="2"/>
        <v>0.014584240313452328</v>
      </c>
      <c r="F22" s="9">
        <v>293</v>
      </c>
      <c r="G22" s="7">
        <f t="shared" si="3"/>
        <v>0.009992497101152718</v>
      </c>
      <c r="H22" s="5">
        <f t="shared" si="0"/>
        <v>0.009485399020432371</v>
      </c>
      <c r="I22" s="10">
        <f t="shared" si="4"/>
        <v>0.11955313588492597</v>
      </c>
      <c r="J22" s="109">
        <f t="shared" si="5"/>
        <v>6490.280125602743</v>
      </c>
      <c r="L22">
        <v>604002</v>
      </c>
    </row>
    <row r="23" spans="1:12" ht="12.75" outlineLevel="1">
      <c r="A23" s="92" t="s">
        <v>151</v>
      </c>
      <c r="B23" s="9"/>
      <c r="C23" s="7">
        <f t="shared" si="1"/>
        <v>0</v>
      </c>
      <c r="D23" s="9"/>
      <c r="E23" s="7">
        <f t="shared" si="2"/>
        <v>0</v>
      </c>
      <c r="F23" s="9">
        <v>23</v>
      </c>
      <c r="G23" s="7">
        <f t="shared" si="3"/>
        <v>0.0007843939703976536</v>
      </c>
      <c r="H23" s="5">
        <f t="shared" si="0"/>
        <v>0.00026146465679921787</v>
      </c>
      <c r="I23" s="10">
        <f t="shared" si="4"/>
        <v>0.0032954775625240445</v>
      </c>
      <c r="J23" s="109">
        <f t="shared" si="5"/>
        <v>178.90432041035558</v>
      </c>
      <c r="L23" s="134">
        <v>601477</v>
      </c>
    </row>
    <row r="24" spans="1:12" ht="12.75" outlineLevel="1">
      <c r="A24" s="92" t="s">
        <v>148</v>
      </c>
      <c r="B24" s="9"/>
      <c r="C24" s="7">
        <f t="shared" si="1"/>
        <v>0</v>
      </c>
      <c r="D24" s="9">
        <f>6+18+6+18</f>
        <v>48</v>
      </c>
      <c r="E24" s="7">
        <f t="shared" si="2"/>
        <v>0.01044841097083152</v>
      </c>
      <c r="F24" s="9">
        <v>281</v>
      </c>
      <c r="G24" s="7">
        <f t="shared" si="3"/>
        <v>0.009583248073119159</v>
      </c>
      <c r="H24" s="5">
        <f t="shared" si="0"/>
        <v>0.0066772196813168925</v>
      </c>
      <c r="I24" s="10">
        <f t="shared" si="4"/>
        <v>0.08415909021585816</v>
      </c>
      <c r="J24" s="109">
        <f t="shared" si="5"/>
        <v>4568.814247938626</v>
      </c>
      <c r="L24">
        <v>601350</v>
      </c>
    </row>
    <row r="25" spans="1:12" ht="12.75" outlineLevel="1">
      <c r="A25" s="92" t="s">
        <v>161</v>
      </c>
      <c r="B25" s="9"/>
      <c r="C25" s="7">
        <f t="shared" si="1"/>
        <v>0</v>
      </c>
      <c r="D25" s="9"/>
      <c r="E25" s="7">
        <f t="shared" si="2"/>
        <v>0</v>
      </c>
      <c r="F25" s="9">
        <v>4</v>
      </c>
      <c r="G25" s="7">
        <f t="shared" si="3"/>
        <v>0.0001364163426778528</v>
      </c>
      <c r="H25" s="5">
        <f t="shared" si="0"/>
        <v>4.547211422595093E-05</v>
      </c>
      <c r="I25" s="10">
        <f t="shared" si="4"/>
        <v>0.0005731265326128773</v>
      </c>
      <c r="J25" s="109">
        <f t="shared" si="5"/>
        <v>31.113794853974884</v>
      </c>
      <c r="L25">
        <v>601090</v>
      </c>
    </row>
    <row r="26" spans="1:12" ht="12.75" outlineLevel="1">
      <c r="A26" s="92" t="s">
        <v>58</v>
      </c>
      <c r="B26" s="9">
        <f>33+35</f>
        <v>68</v>
      </c>
      <c r="C26" s="7">
        <f t="shared" si="1"/>
        <v>0.0047107724281260826</v>
      </c>
      <c r="D26" s="9">
        <f>2+2+2+2+2+6+1+1+1+1+1+2+2+2+2+5+2+1+1+1+1+1+1+1+1+1+1+1+1+1+1+7</f>
        <v>57</v>
      </c>
      <c r="E26" s="7">
        <f t="shared" si="2"/>
        <v>0.012407488027862429</v>
      </c>
      <c r="F26" s="9">
        <v>332</v>
      </c>
      <c r="G26" s="7">
        <f t="shared" si="3"/>
        <v>0.011322556442261784</v>
      </c>
      <c r="H26" s="5">
        <f t="shared" si="0"/>
        <v>0.009480272299416765</v>
      </c>
      <c r="I26" s="10">
        <f t="shared" si="4"/>
        <v>0.11948851914366895</v>
      </c>
      <c r="J26" s="109">
        <f t="shared" si="5"/>
        <v>6486.772223041615</v>
      </c>
      <c r="L26">
        <v>601422</v>
      </c>
    </row>
    <row r="27" spans="1:12" ht="12.75" outlineLevel="1">
      <c r="A27" s="92" t="s">
        <v>59</v>
      </c>
      <c r="B27" s="9"/>
      <c r="C27" s="7">
        <f t="shared" si="1"/>
        <v>0</v>
      </c>
      <c r="D27" s="9"/>
      <c r="E27" s="7">
        <f t="shared" si="2"/>
        <v>0</v>
      </c>
      <c r="F27" s="9">
        <v>19</v>
      </c>
      <c r="G27" s="7">
        <f t="shared" si="3"/>
        <v>0.0006479776277198008</v>
      </c>
      <c r="H27" s="5">
        <f t="shared" si="0"/>
        <v>0.00021599254257326694</v>
      </c>
      <c r="I27" s="10">
        <f t="shared" si="4"/>
        <v>0.0027223510299111673</v>
      </c>
      <c r="J27" s="109">
        <f t="shared" si="5"/>
        <v>147.79052555638071</v>
      </c>
      <c r="L27">
        <v>601635</v>
      </c>
    </row>
    <row r="28" spans="1:12" ht="12.75" outlineLevel="1">
      <c r="A28" s="92" t="s">
        <v>182</v>
      </c>
      <c r="B28" s="9"/>
      <c r="C28" s="7">
        <f t="shared" si="1"/>
        <v>0</v>
      </c>
      <c r="D28" s="9"/>
      <c r="E28" s="7">
        <f t="shared" si="2"/>
        <v>0</v>
      </c>
      <c r="F28" s="9">
        <v>7</v>
      </c>
      <c r="G28" s="7">
        <f t="shared" si="3"/>
        <v>0.0002387285996862424</v>
      </c>
      <c r="H28" s="5">
        <f t="shared" si="0"/>
        <v>7.957619989541413E-05</v>
      </c>
      <c r="I28" s="10">
        <f t="shared" si="4"/>
        <v>0.0010029714320725352</v>
      </c>
      <c r="J28" s="109">
        <f t="shared" si="5"/>
        <v>54.449140994456044</v>
      </c>
      <c r="L28" s="134">
        <v>601422</v>
      </c>
    </row>
    <row r="29" spans="1:12" ht="12.75" outlineLevel="1">
      <c r="A29" s="92" t="s">
        <v>181</v>
      </c>
      <c r="B29" s="9">
        <f>1+1</f>
        <v>2</v>
      </c>
      <c r="C29" s="7">
        <f t="shared" si="1"/>
        <v>0.00013855213023900243</v>
      </c>
      <c r="D29" s="9">
        <f>1+1+1+1+1</f>
        <v>5</v>
      </c>
      <c r="E29" s="7">
        <f t="shared" si="2"/>
        <v>0.00108837614279495</v>
      </c>
      <c r="F29" s="9">
        <v>161</v>
      </c>
      <c r="G29" s="7">
        <f t="shared" si="3"/>
        <v>0.0054907577927835755</v>
      </c>
      <c r="H29" s="5">
        <f t="shared" si="0"/>
        <v>0.0022392286886058427</v>
      </c>
      <c r="I29" s="10">
        <f t="shared" si="4"/>
        <v>0.028223041656935597</v>
      </c>
      <c r="J29" s="109">
        <f t="shared" si="5"/>
        <v>1532.1676423977713</v>
      </c>
      <c r="L29">
        <v>601410</v>
      </c>
    </row>
    <row r="30" spans="1:12" ht="12.75" outlineLevel="1">
      <c r="A30" s="92" t="s">
        <v>249</v>
      </c>
      <c r="B30" s="9">
        <f>96+65</f>
        <v>161</v>
      </c>
      <c r="C30" s="7">
        <f t="shared" si="1"/>
        <v>0.011153446484239694</v>
      </c>
      <c r="D30" s="9">
        <f>22+2+15+7+5+18+1</f>
        <v>70</v>
      </c>
      <c r="E30" s="7">
        <f t="shared" si="2"/>
        <v>0.015237265999129298</v>
      </c>
      <c r="F30" s="9">
        <f>308+9+4</f>
        <v>321</v>
      </c>
      <c r="G30" s="7">
        <f t="shared" si="3"/>
        <v>0.010947411499897688</v>
      </c>
      <c r="H30" s="5">
        <f t="shared" si="0"/>
        <v>0.012446041327755562</v>
      </c>
      <c r="I30" s="10">
        <f t="shared" si="4"/>
        <v>0.15686881141018563</v>
      </c>
      <c r="J30" s="109">
        <f t="shared" si="5"/>
        <v>8516.06711514812</v>
      </c>
      <c r="L30">
        <v>601015</v>
      </c>
    </row>
    <row r="31" spans="1:12" ht="12.75" outlineLevel="1">
      <c r="A31" s="92" t="s">
        <v>225</v>
      </c>
      <c r="B31" s="9"/>
      <c r="C31" s="7">
        <f t="shared" si="1"/>
        <v>0</v>
      </c>
      <c r="D31" s="9"/>
      <c r="E31" s="7">
        <f t="shared" si="2"/>
        <v>0</v>
      </c>
      <c r="F31" s="9">
        <v>2</v>
      </c>
      <c r="G31" s="7">
        <f t="shared" si="3"/>
        <v>6.82081713389264E-05</v>
      </c>
      <c r="H31" s="5">
        <f t="shared" si="0"/>
        <v>2.2736057112975465E-05</v>
      </c>
      <c r="I31" s="10">
        <f t="shared" si="4"/>
        <v>0.00028656326630643864</v>
      </c>
      <c r="J31" s="109">
        <f t="shared" si="5"/>
        <v>15.556897426987442</v>
      </c>
      <c r="L31">
        <v>603000</v>
      </c>
    </row>
    <row r="32" spans="1:12" ht="12.75" outlineLevel="1">
      <c r="A32" s="92" t="s">
        <v>264</v>
      </c>
      <c r="B32" s="9">
        <f>40+3</f>
        <v>43</v>
      </c>
      <c r="C32" s="7">
        <f t="shared" si="1"/>
        <v>0.002978870800138552</v>
      </c>
      <c r="D32" s="9"/>
      <c r="E32" s="7">
        <f t="shared" si="2"/>
        <v>0</v>
      </c>
      <c r="F32" s="9"/>
      <c r="G32" s="7">
        <f t="shared" si="3"/>
        <v>0</v>
      </c>
      <c r="H32" s="5">
        <f t="shared" si="0"/>
        <v>0.0009929569333795173</v>
      </c>
      <c r="I32" s="10">
        <f t="shared" si="4"/>
        <v>0.012515141949061583</v>
      </c>
      <c r="J32" s="109">
        <f t="shared" si="5"/>
        <v>679.4198785322967</v>
      </c>
      <c r="L32" s="134">
        <v>601477</v>
      </c>
    </row>
    <row r="33" spans="1:12" ht="12.75" outlineLevel="1">
      <c r="A33" s="92" t="s">
        <v>25</v>
      </c>
      <c r="B33" s="9">
        <f>32+26</f>
        <v>58</v>
      </c>
      <c r="C33" s="7">
        <f t="shared" si="1"/>
        <v>0.00401801177693107</v>
      </c>
      <c r="D33" s="9">
        <f>2+2+2+2+2+2+2+2+2+2+2</f>
        <v>22</v>
      </c>
      <c r="E33" s="7">
        <f t="shared" si="2"/>
        <v>0.00478885502829778</v>
      </c>
      <c r="F33" s="9">
        <v>508</v>
      </c>
      <c r="G33" s="7">
        <f t="shared" si="3"/>
        <v>0.017324875520087307</v>
      </c>
      <c r="H33" s="5">
        <f t="shared" si="0"/>
        <v>0.008710580775105385</v>
      </c>
      <c r="I33" s="10">
        <f t="shared" si="4"/>
        <v>0.10978739479484007</v>
      </c>
      <c r="J33" s="109">
        <f t="shared" si="5"/>
        <v>5960.119249105331</v>
      </c>
      <c r="L33">
        <v>601210</v>
      </c>
    </row>
    <row r="34" spans="1:12" ht="12.75" outlineLevel="1">
      <c r="A34" s="92" t="s">
        <v>160</v>
      </c>
      <c r="B34" s="9"/>
      <c r="C34" s="7">
        <f t="shared" si="1"/>
        <v>0</v>
      </c>
      <c r="D34" s="9"/>
      <c r="E34" s="7">
        <f t="shared" si="2"/>
        <v>0</v>
      </c>
      <c r="F34" s="9">
        <v>48</v>
      </c>
      <c r="G34" s="7">
        <f t="shared" si="3"/>
        <v>0.0016369961121342337</v>
      </c>
      <c r="H34" s="5">
        <f t="shared" si="0"/>
        <v>0.0005456653707114112</v>
      </c>
      <c r="I34" s="10">
        <f t="shared" si="4"/>
        <v>0.006877518391354527</v>
      </c>
      <c r="J34" s="109">
        <f t="shared" si="5"/>
        <v>373.36553824769857</v>
      </c>
      <c r="L34" s="134">
        <v>601410</v>
      </c>
    </row>
    <row r="35" spans="1:12" ht="12.75" outlineLevel="1">
      <c r="A35" s="92" t="s">
        <v>159</v>
      </c>
      <c r="B35" s="9"/>
      <c r="C35" s="7">
        <f t="shared" si="1"/>
        <v>0</v>
      </c>
      <c r="D35" s="9"/>
      <c r="E35" s="7">
        <f t="shared" si="2"/>
        <v>0</v>
      </c>
      <c r="F35" s="9">
        <v>1</v>
      </c>
      <c r="G35" s="7">
        <f t="shared" si="3"/>
        <v>3.41040856694632E-05</v>
      </c>
      <c r="H35" s="5">
        <f t="shared" si="0"/>
        <v>1.1368028556487733E-05</v>
      </c>
      <c r="I35" s="10">
        <f t="shared" si="4"/>
        <v>0.00014328163315321932</v>
      </c>
      <c r="J35" s="109">
        <f t="shared" si="5"/>
        <v>7.778448713493721</v>
      </c>
      <c r="L35">
        <v>601486</v>
      </c>
    </row>
    <row r="36" spans="1:12" ht="13.5" outlineLevel="1" thickBot="1">
      <c r="A36" s="92" t="s">
        <v>188</v>
      </c>
      <c r="B36" s="9"/>
      <c r="C36" s="7">
        <f t="shared" si="1"/>
        <v>0</v>
      </c>
      <c r="D36" s="9"/>
      <c r="E36" s="7">
        <f t="shared" si="2"/>
        <v>0</v>
      </c>
      <c r="F36" s="9">
        <v>5</v>
      </c>
      <c r="G36" s="7">
        <f t="shared" si="3"/>
        <v>0.00017052042834731602</v>
      </c>
      <c r="H36" s="5">
        <f t="shared" si="0"/>
        <v>5.6840142782438675E-05</v>
      </c>
      <c r="I36" s="10">
        <f t="shared" si="4"/>
        <v>0.0007164081657660967</v>
      </c>
      <c r="J36" s="109">
        <f t="shared" si="5"/>
        <v>38.89224356746861</v>
      </c>
      <c r="L36">
        <v>601428</v>
      </c>
    </row>
    <row r="37" spans="1:10" ht="13.5" thickBot="1">
      <c r="A37" s="128" t="s">
        <v>199</v>
      </c>
      <c r="B37" s="122">
        <f aca="true" t="shared" si="6" ref="B37:I37">SUM(B8:B36)</f>
        <v>471</v>
      </c>
      <c r="C37" s="126">
        <f t="shared" si="6"/>
        <v>0.03262902667128506</v>
      </c>
      <c r="D37" s="122">
        <f t="shared" si="6"/>
        <v>409</v>
      </c>
      <c r="E37" s="126">
        <f t="shared" si="6"/>
        <v>0.08902916848062689</v>
      </c>
      <c r="F37" s="122">
        <f t="shared" si="6"/>
        <v>3412</v>
      </c>
      <c r="G37" s="126">
        <f t="shared" si="6"/>
        <v>0.11636314030420844</v>
      </c>
      <c r="H37" s="126">
        <f t="shared" si="6"/>
        <v>0.07934044515204014</v>
      </c>
      <c r="I37" s="119">
        <f t="shared" si="6"/>
        <v>0.9999999999999999</v>
      </c>
      <c r="J37" s="120">
        <f>'FY09-FY08 Comparison'!K23</f>
        <v>54287.8284</v>
      </c>
    </row>
  </sheetData>
  <mergeCells count="4">
    <mergeCell ref="I5:J5"/>
    <mergeCell ref="I1:J2"/>
    <mergeCell ref="I3:J3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xSplit="1" ySplit="5" topLeftCell="C33" activePane="bottomRight" state="frozen"/>
      <selection pane="topLeft" activeCell="K7" sqref="K7"/>
      <selection pane="topRight" activeCell="K7" sqref="K7"/>
      <selection pane="bottomLeft" activeCell="K7" sqref="K7"/>
      <selection pane="bottomRight" activeCell="I45" sqref="I45"/>
    </sheetView>
  </sheetViews>
  <sheetFormatPr defaultColWidth="9.140625" defaultRowHeight="12.75" outlineLevelRow="1" outlineLevelCol="1"/>
  <cols>
    <col min="1" max="1" width="44.28125" style="0" customWidth="1"/>
    <col min="2" max="3" width="9.140625" style="0" hidden="1" customWidth="1" outlineLevel="1"/>
    <col min="4" max="4" width="11.8515625" style="0" hidden="1" customWidth="1" outlineLevel="1"/>
    <col min="5" max="8" width="9.140625" style="0" hidden="1" customWidth="1" outlineLevel="1"/>
    <col min="9" max="9" width="12.7109375" style="0" customWidth="1" collapsed="1"/>
    <col min="10" max="10" width="12.7109375" style="0" customWidth="1"/>
    <col min="11" max="11" width="3.00390625" style="0" customWidth="1"/>
    <col min="12" max="12" width="24.8515625" style="0" hidden="1" customWidth="1"/>
  </cols>
  <sheetData>
    <row r="1" spans="1:10" ht="13.5" customHeight="1">
      <c r="A1" s="89" t="s">
        <v>0</v>
      </c>
      <c r="B1" s="2"/>
      <c r="C1" s="32"/>
      <c r="D1" s="22"/>
      <c r="E1" s="32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>
      <c r="A3" s="112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316</v>
      </c>
      <c r="J4" s="157"/>
    </row>
    <row r="5" spans="1:12" ht="13.5" thickBot="1">
      <c r="A5" s="111" t="s">
        <v>244</v>
      </c>
      <c r="B5" s="8" t="s">
        <v>3</v>
      </c>
      <c r="C5" s="7" t="s">
        <v>152</v>
      </c>
      <c r="D5" s="8" t="s">
        <v>118</v>
      </c>
      <c r="E5" s="7" t="s">
        <v>152</v>
      </c>
      <c r="F5" s="8" t="s">
        <v>163</v>
      </c>
      <c r="G5" s="7" t="s">
        <v>152</v>
      </c>
      <c r="H5" s="5" t="s">
        <v>201</v>
      </c>
      <c r="I5" s="148">
        <f>SUM(J8:J44)</f>
        <v>75304.68000000002</v>
      </c>
      <c r="J5" s="149"/>
      <c r="L5" t="s">
        <v>335</v>
      </c>
    </row>
    <row r="6" spans="1:10" ht="12.75">
      <c r="A6" s="114"/>
      <c r="I6" s="17"/>
      <c r="J6" s="12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4</v>
      </c>
      <c r="B8" s="9"/>
      <c r="C8" s="7">
        <f aca="true" t="shared" si="0" ref="C8:C44">B8/14435</f>
        <v>0</v>
      </c>
      <c r="D8" s="9">
        <v>1</v>
      </c>
      <c r="E8" s="7">
        <f aca="true" t="shared" si="1" ref="E8:E44">D8/4594</f>
        <v>0.00021767522855898998</v>
      </c>
      <c r="F8" s="9">
        <v>51</v>
      </c>
      <c r="G8" s="7">
        <f aca="true" t="shared" si="2" ref="G8:G44">F8/29322</f>
        <v>0.0017393083691426233</v>
      </c>
      <c r="H8" s="5">
        <f aca="true" t="shared" si="3" ref="H8:H44">+(C8+E8+G8)/3</f>
        <v>0.0006523278659005378</v>
      </c>
      <c r="I8" s="10">
        <f aca="true" t="shared" si="4" ref="I8:I44">H8/$H$45</f>
        <v>0.005930158348311735</v>
      </c>
      <c r="J8" s="109">
        <f aca="true" t="shared" si="5" ref="J8:J44">I8*$J$45</f>
        <v>446.56867676894376</v>
      </c>
    </row>
    <row r="9" spans="1:12" ht="12.75" outlineLevel="1">
      <c r="A9" s="92" t="s">
        <v>124</v>
      </c>
      <c r="B9" s="9"/>
      <c r="C9" s="7">
        <f t="shared" si="0"/>
        <v>0</v>
      </c>
      <c r="D9" s="9">
        <f>9+1</f>
        <v>10</v>
      </c>
      <c r="E9" s="7">
        <f t="shared" si="1"/>
        <v>0.0021767522855899</v>
      </c>
      <c r="F9" s="9">
        <f>61+5</f>
        <v>66</v>
      </c>
      <c r="G9" s="7">
        <f t="shared" si="2"/>
        <v>0.0022508696541845715</v>
      </c>
      <c r="H9" s="5">
        <f t="shared" si="3"/>
        <v>0.0014758739799248237</v>
      </c>
      <c r="I9" s="10">
        <f t="shared" si="4"/>
        <v>0.013416821295875358</v>
      </c>
      <c r="J9" s="109">
        <f t="shared" si="5"/>
        <v>1010.3494343030792</v>
      </c>
      <c r="L9">
        <v>706202</v>
      </c>
    </row>
    <row r="10" spans="1:12" ht="12.75" outlineLevel="1">
      <c r="A10" s="92" t="s">
        <v>332</v>
      </c>
      <c r="B10" s="9">
        <f>2</f>
        <v>2</v>
      </c>
      <c r="C10" s="7">
        <f t="shared" si="0"/>
        <v>0.00013855213023900243</v>
      </c>
      <c r="D10" s="9">
        <v>6</v>
      </c>
      <c r="E10" s="7">
        <f t="shared" si="1"/>
        <v>0.00130605137135394</v>
      </c>
      <c r="F10" s="9">
        <v>54</v>
      </c>
      <c r="G10" s="7">
        <f t="shared" si="2"/>
        <v>0.001841620626151013</v>
      </c>
      <c r="H10" s="5">
        <f t="shared" si="3"/>
        <v>0.0010954080425813184</v>
      </c>
      <c r="I10" s="10">
        <f t="shared" si="4"/>
        <v>0.009958095442624977</v>
      </c>
      <c r="J10" s="109">
        <f t="shared" si="5"/>
        <v>749.8911907163323</v>
      </c>
      <c r="L10">
        <v>706207</v>
      </c>
    </row>
    <row r="11" spans="1:10" ht="12.75" outlineLevel="1">
      <c r="A11" s="92" t="s">
        <v>263</v>
      </c>
      <c r="B11" s="9">
        <f>1+1</f>
        <v>2</v>
      </c>
      <c r="C11" s="7">
        <f t="shared" si="0"/>
        <v>0.00013855213023900243</v>
      </c>
      <c r="D11" s="9"/>
      <c r="E11" s="7">
        <f t="shared" si="1"/>
        <v>0</v>
      </c>
      <c r="F11" s="9">
        <f>16</f>
        <v>16</v>
      </c>
      <c r="G11" s="7">
        <f t="shared" si="2"/>
        <v>0.0005456653707114112</v>
      </c>
      <c r="H11" s="5">
        <f t="shared" si="3"/>
        <v>0.00022807250031680454</v>
      </c>
      <c r="I11" s="10">
        <f t="shared" si="4"/>
        <v>0.0020733531594682017</v>
      </c>
      <c r="J11" s="109">
        <f t="shared" si="5"/>
        <v>156.1331962007419</v>
      </c>
    </row>
    <row r="12" spans="1:10" ht="12.75" outlineLevel="1">
      <c r="A12" s="92" t="s">
        <v>24</v>
      </c>
      <c r="B12" s="9">
        <f>1</f>
        <v>1</v>
      </c>
      <c r="C12" s="7">
        <f t="shared" si="0"/>
        <v>6.927606511950121E-05</v>
      </c>
      <c r="D12" s="9"/>
      <c r="E12" s="7">
        <f t="shared" si="1"/>
        <v>0</v>
      </c>
      <c r="F12" s="9">
        <f>168</f>
        <v>168</v>
      </c>
      <c r="G12" s="7">
        <f t="shared" si="2"/>
        <v>0.005729486392469818</v>
      </c>
      <c r="H12" s="5">
        <f t="shared" si="3"/>
        <v>0.0019329208191964395</v>
      </c>
      <c r="I12" s="10">
        <f t="shared" si="4"/>
        <v>0.01757172601657806</v>
      </c>
      <c r="J12" s="109">
        <f t="shared" si="5"/>
        <v>1323.2332047260857</v>
      </c>
    </row>
    <row r="13" spans="1:10" ht="12.75" outlineLevel="1">
      <c r="A13" s="92" t="s">
        <v>5</v>
      </c>
      <c r="B13" s="9"/>
      <c r="C13" s="7">
        <f t="shared" si="0"/>
        <v>0</v>
      </c>
      <c r="D13" s="9">
        <f>10+3+3+2+7+4+1</f>
        <v>30</v>
      </c>
      <c r="E13" s="7">
        <f t="shared" si="1"/>
        <v>0.006530256856769699</v>
      </c>
      <c r="F13" s="9">
        <f>36</f>
        <v>36</v>
      </c>
      <c r="G13" s="7">
        <f t="shared" si="2"/>
        <v>0.0012277470841006752</v>
      </c>
      <c r="H13" s="5">
        <f t="shared" si="3"/>
        <v>0.002586001313623458</v>
      </c>
      <c r="I13" s="10">
        <f t="shared" si="4"/>
        <v>0.02350872633282156</v>
      </c>
      <c r="J13" s="109">
        <f t="shared" si="5"/>
        <v>1770.3171137007012</v>
      </c>
    </row>
    <row r="14" spans="1:12" ht="12.75" outlineLevel="1">
      <c r="A14" s="92" t="s">
        <v>333</v>
      </c>
      <c r="B14" s="9">
        <f>1+1</f>
        <v>2</v>
      </c>
      <c r="C14" s="7">
        <f t="shared" si="0"/>
        <v>0.00013855213023900243</v>
      </c>
      <c r="D14" s="9">
        <f>1+4+1</f>
        <v>6</v>
      </c>
      <c r="E14" s="7">
        <f t="shared" si="1"/>
        <v>0.00130605137135394</v>
      </c>
      <c r="F14" s="9">
        <v>50</v>
      </c>
      <c r="G14" s="7">
        <f t="shared" si="2"/>
        <v>0.0017052042834731602</v>
      </c>
      <c r="H14" s="5">
        <f t="shared" si="3"/>
        <v>0.0010499359283553675</v>
      </c>
      <c r="I14" s="10">
        <f t="shared" si="4"/>
        <v>0.009544719206703878</v>
      </c>
      <c r="J14" s="109">
        <f t="shared" si="5"/>
        <v>718.7620255506895</v>
      </c>
      <c r="L14">
        <v>706203</v>
      </c>
    </row>
    <row r="15" spans="1:10" ht="12.75" outlineLevel="1">
      <c r="A15" s="92" t="s">
        <v>48</v>
      </c>
      <c r="B15" s="9">
        <f>78+24</f>
        <v>102</v>
      </c>
      <c r="C15" s="7">
        <f t="shared" si="0"/>
        <v>0.007066158642189123</v>
      </c>
      <c r="D15" s="9">
        <f>11</f>
        <v>11</v>
      </c>
      <c r="E15" s="7">
        <f t="shared" si="1"/>
        <v>0.00239442751414889</v>
      </c>
      <c r="F15" s="9">
        <f>1+45</f>
        <v>46</v>
      </c>
      <c r="G15" s="7">
        <f t="shared" si="2"/>
        <v>0.0015687879407953072</v>
      </c>
      <c r="H15" s="5">
        <f t="shared" si="3"/>
        <v>0.0036764580323777733</v>
      </c>
      <c r="I15" s="10">
        <f t="shared" si="4"/>
        <v>0.03342181046156167</v>
      </c>
      <c r="J15" s="109">
        <f t="shared" si="5"/>
        <v>2516.818741828554</v>
      </c>
    </row>
    <row r="16" spans="1:10" ht="12.75" outlineLevel="1">
      <c r="A16" s="92" t="s">
        <v>270</v>
      </c>
      <c r="B16" s="9"/>
      <c r="C16" s="7">
        <f t="shared" si="0"/>
        <v>0</v>
      </c>
      <c r="D16" s="9"/>
      <c r="E16" s="7">
        <f t="shared" si="1"/>
        <v>0</v>
      </c>
      <c r="F16" s="9">
        <v>7</v>
      </c>
      <c r="G16" s="7">
        <f t="shared" si="2"/>
        <v>0.0002387285996862424</v>
      </c>
      <c r="H16" s="5">
        <f t="shared" si="3"/>
        <v>7.957619989541413E-05</v>
      </c>
      <c r="I16" s="10">
        <f t="shared" si="4"/>
        <v>0.0007234084128619233</v>
      </c>
      <c r="J16" s="109">
        <f t="shared" si="5"/>
        <v>54.476039039875026</v>
      </c>
    </row>
    <row r="17" spans="1:10" ht="12.75" outlineLevel="1">
      <c r="A17" s="92" t="s">
        <v>227</v>
      </c>
      <c r="B17" s="9"/>
      <c r="C17" s="7">
        <f t="shared" si="0"/>
        <v>0</v>
      </c>
      <c r="D17" s="9">
        <f>9</f>
        <v>9</v>
      </c>
      <c r="E17" s="7">
        <f t="shared" si="1"/>
        <v>0.00195907705703091</v>
      </c>
      <c r="F17" s="9">
        <v>20</v>
      </c>
      <c r="G17" s="7">
        <f t="shared" si="2"/>
        <v>0.0006820817133892641</v>
      </c>
      <c r="H17" s="5">
        <f t="shared" si="3"/>
        <v>0.0008803862568067247</v>
      </c>
      <c r="I17" s="10">
        <f t="shared" si="4"/>
        <v>0.008003383242464997</v>
      </c>
      <c r="J17" s="109">
        <f t="shared" si="5"/>
        <v>602.6922139911891</v>
      </c>
    </row>
    <row r="18" spans="1:10" ht="12.75" outlineLevel="1">
      <c r="A18" s="92" t="s">
        <v>216</v>
      </c>
      <c r="B18" s="9"/>
      <c r="C18" s="7">
        <f t="shared" si="0"/>
        <v>0</v>
      </c>
      <c r="D18" s="9">
        <f>1+6+9</f>
        <v>16</v>
      </c>
      <c r="E18" s="7">
        <f t="shared" si="1"/>
        <v>0.0034828036569438396</v>
      </c>
      <c r="F18" s="9">
        <v>43</v>
      </c>
      <c r="G18" s="7">
        <f t="shared" si="2"/>
        <v>0.0014664756837869176</v>
      </c>
      <c r="H18" s="5">
        <f t="shared" si="3"/>
        <v>0.0016497597802435857</v>
      </c>
      <c r="I18" s="10">
        <f t="shared" si="4"/>
        <v>0.014997575981235372</v>
      </c>
      <c r="J18" s="109">
        <f t="shared" si="5"/>
        <v>1129.3876600426158</v>
      </c>
    </row>
    <row r="19" spans="1:10" ht="12.75" outlineLevel="1">
      <c r="A19" s="92" t="s">
        <v>226</v>
      </c>
      <c r="B19" s="9"/>
      <c r="C19" s="7">
        <f t="shared" si="0"/>
        <v>0</v>
      </c>
      <c r="D19" s="9">
        <f>1+1+1+2+1+3+1+6</f>
        <v>16</v>
      </c>
      <c r="E19" s="7">
        <f t="shared" si="1"/>
        <v>0.0034828036569438396</v>
      </c>
      <c r="F19" s="9">
        <v>430</v>
      </c>
      <c r="G19" s="7">
        <f t="shared" si="2"/>
        <v>0.014664756837869176</v>
      </c>
      <c r="H19" s="5">
        <f t="shared" si="3"/>
        <v>0.006049186831604339</v>
      </c>
      <c r="I19" s="10">
        <f t="shared" si="4"/>
        <v>0.05499172680660171</v>
      </c>
      <c r="J19" s="109">
        <f t="shared" si="5"/>
        <v>4141.134389818564</v>
      </c>
    </row>
    <row r="20" spans="1:10" ht="12.75" outlineLevel="1">
      <c r="A20" s="92" t="s">
        <v>228</v>
      </c>
      <c r="B20" s="9"/>
      <c r="C20" s="7">
        <f t="shared" si="0"/>
        <v>0</v>
      </c>
      <c r="D20" s="9"/>
      <c r="E20" s="7">
        <f t="shared" si="1"/>
        <v>0</v>
      </c>
      <c r="F20" s="9">
        <v>65</v>
      </c>
      <c r="G20" s="7">
        <f t="shared" si="2"/>
        <v>0.002216765568515108</v>
      </c>
      <c r="H20" s="5">
        <f t="shared" si="3"/>
        <v>0.0007389218561717027</v>
      </c>
      <c r="I20" s="10">
        <f t="shared" si="4"/>
        <v>0.006717363833717859</v>
      </c>
      <c r="J20" s="109">
        <f t="shared" si="5"/>
        <v>505.84893394169666</v>
      </c>
    </row>
    <row r="21" spans="1:10" ht="12.75" outlineLevel="1">
      <c r="A21" s="92" t="s">
        <v>34</v>
      </c>
      <c r="B21" s="9"/>
      <c r="C21" s="7">
        <f t="shared" si="0"/>
        <v>0</v>
      </c>
      <c r="D21" s="9">
        <f>1+1+1+1+1+1+1+3+2+2+3</f>
        <v>17</v>
      </c>
      <c r="E21" s="7">
        <f t="shared" si="1"/>
        <v>0.0037004788855028296</v>
      </c>
      <c r="F21" s="9">
        <v>13</v>
      </c>
      <c r="G21" s="7">
        <f t="shared" si="2"/>
        <v>0.0004433531137030216</v>
      </c>
      <c r="H21" s="5">
        <f t="shared" si="3"/>
        <v>0.0013812773330686172</v>
      </c>
      <c r="I21" s="10">
        <f t="shared" si="4"/>
        <v>0.012556865552144853</v>
      </c>
      <c r="J21" s="109">
        <f t="shared" si="5"/>
        <v>945.5907422072916</v>
      </c>
    </row>
    <row r="22" spans="1:10" ht="12.75" outlineLevel="1">
      <c r="A22" s="92" t="s">
        <v>178</v>
      </c>
      <c r="B22" s="9"/>
      <c r="C22" s="7">
        <f t="shared" si="0"/>
        <v>0</v>
      </c>
      <c r="D22" s="9">
        <v>13</v>
      </c>
      <c r="E22" s="7">
        <f t="shared" si="1"/>
        <v>0.0028297779712668698</v>
      </c>
      <c r="F22" s="9">
        <v>4</v>
      </c>
      <c r="G22" s="7">
        <f t="shared" si="2"/>
        <v>0.0001364163426778528</v>
      </c>
      <c r="H22" s="5">
        <f t="shared" si="3"/>
        <v>0.0009887314379815743</v>
      </c>
      <c r="I22" s="10">
        <f t="shared" si="4"/>
        <v>0.00898832366005149</v>
      </c>
      <c r="J22" s="109">
        <f t="shared" si="5"/>
        <v>676.8628369566063</v>
      </c>
    </row>
    <row r="23" spans="1:10" ht="12.75" outlineLevel="1">
      <c r="A23" s="92" t="s">
        <v>123</v>
      </c>
      <c r="B23" s="9"/>
      <c r="C23" s="7">
        <f t="shared" si="0"/>
        <v>0</v>
      </c>
      <c r="D23" s="9">
        <f>2+15+2+11+7+4+3+10+4+2+1+1</f>
        <v>62</v>
      </c>
      <c r="E23" s="7">
        <f t="shared" si="1"/>
        <v>0.013495864170657379</v>
      </c>
      <c r="F23" s="9">
        <v>51</v>
      </c>
      <c r="G23" s="7">
        <f t="shared" si="2"/>
        <v>0.0017393083691426233</v>
      </c>
      <c r="H23" s="5">
        <f t="shared" si="3"/>
        <v>0.0050783908466000005</v>
      </c>
      <c r="I23" s="10">
        <f t="shared" si="4"/>
        <v>0.0461664501076928</v>
      </c>
      <c r="J23" s="109">
        <f t="shared" si="5"/>
        <v>3476.549752095772</v>
      </c>
    </row>
    <row r="24" spans="1:10" ht="12.75" outlineLevel="1">
      <c r="A24" s="92" t="s">
        <v>51</v>
      </c>
      <c r="B24" s="9">
        <f>1+1</f>
        <v>2</v>
      </c>
      <c r="C24" s="7">
        <f t="shared" si="0"/>
        <v>0.00013855213023900243</v>
      </c>
      <c r="D24" s="9">
        <f>3+1+1</f>
        <v>5</v>
      </c>
      <c r="E24" s="7">
        <f t="shared" si="1"/>
        <v>0.00108837614279495</v>
      </c>
      <c r="F24" s="9">
        <v>195</v>
      </c>
      <c r="G24" s="7">
        <f t="shared" si="2"/>
        <v>0.006650296705545324</v>
      </c>
      <c r="H24" s="5">
        <f t="shared" si="3"/>
        <v>0.0026257416595264257</v>
      </c>
      <c r="I24" s="10">
        <f t="shared" si="4"/>
        <v>0.023869996418525996</v>
      </c>
      <c r="J24" s="109">
        <f t="shared" si="5"/>
        <v>1797.5224418982464</v>
      </c>
    </row>
    <row r="25" spans="1:10" ht="12.75" outlineLevel="1">
      <c r="A25" s="92" t="s">
        <v>47</v>
      </c>
      <c r="B25" s="9"/>
      <c r="C25" s="7">
        <f t="shared" si="0"/>
        <v>0</v>
      </c>
      <c r="D25" s="9"/>
      <c r="E25" s="7">
        <f t="shared" si="1"/>
        <v>0</v>
      </c>
      <c r="F25" s="9">
        <v>1</v>
      </c>
      <c r="G25" s="7">
        <f t="shared" si="2"/>
        <v>3.41040856694632E-05</v>
      </c>
      <c r="H25" s="5">
        <f t="shared" si="3"/>
        <v>1.1368028556487733E-05</v>
      </c>
      <c r="I25" s="10">
        <f t="shared" si="4"/>
        <v>0.00010334405898027474</v>
      </c>
      <c r="J25" s="109">
        <f t="shared" si="5"/>
        <v>7.782291291410717</v>
      </c>
    </row>
    <row r="26" spans="1:10" ht="12.75" outlineLevel="1">
      <c r="A26" s="92" t="s">
        <v>153</v>
      </c>
      <c r="B26" s="9"/>
      <c r="C26" s="7">
        <f t="shared" si="0"/>
        <v>0</v>
      </c>
      <c r="D26" s="9"/>
      <c r="E26" s="7">
        <f t="shared" si="1"/>
        <v>0</v>
      </c>
      <c r="F26" s="9">
        <v>5</v>
      </c>
      <c r="G26" s="7">
        <f t="shared" si="2"/>
        <v>0.00017052042834731602</v>
      </c>
      <c r="H26" s="5">
        <f t="shared" si="3"/>
        <v>5.6840142782438675E-05</v>
      </c>
      <c r="I26" s="10">
        <f t="shared" si="4"/>
        <v>0.0005167202949013739</v>
      </c>
      <c r="J26" s="109">
        <f t="shared" si="5"/>
        <v>38.911456457053596</v>
      </c>
    </row>
    <row r="27" spans="1:10" ht="12.75" outlineLevel="1">
      <c r="A27" s="92" t="s">
        <v>56</v>
      </c>
      <c r="B27" s="9">
        <f>35+18</f>
        <v>53</v>
      </c>
      <c r="C27" s="7">
        <f t="shared" si="0"/>
        <v>0.003671631451333564</v>
      </c>
      <c r="D27" s="9">
        <v>3</v>
      </c>
      <c r="E27" s="7">
        <f t="shared" si="1"/>
        <v>0.00065302568567697</v>
      </c>
      <c r="F27" s="9">
        <v>99</v>
      </c>
      <c r="G27" s="7">
        <f t="shared" si="2"/>
        <v>0.003376304481276857</v>
      </c>
      <c r="H27" s="5">
        <f t="shared" si="3"/>
        <v>0.002566987206095797</v>
      </c>
      <c r="I27" s="10">
        <f t="shared" si="4"/>
        <v>0.023335873578271212</v>
      </c>
      <c r="J27" s="109">
        <f t="shared" si="5"/>
        <v>1757.3004923321687</v>
      </c>
    </row>
    <row r="28" spans="1:10" ht="12.75" outlineLevel="1">
      <c r="A28" s="92" t="s">
        <v>11</v>
      </c>
      <c r="B28" s="9">
        <f>34+22</f>
        <v>56</v>
      </c>
      <c r="C28" s="7">
        <f t="shared" si="0"/>
        <v>0.003879459646692068</v>
      </c>
      <c r="D28" s="9">
        <f>1+1+1+1+1+1+4+1+2+1+1</f>
        <v>15</v>
      </c>
      <c r="E28" s="7">
        <f t="shared" si="1"/>
        <v>0.0032651284283848497</v>
      </c>
      <c r="F28" s="9">
        <v>113</v>
      </c>
      <c r="G28" s="7">
        <f t="shared" si="2"/>
        <v>0.003853761680649342</v>
      </c>
      <c r="H28" s="5">
        <f t="shared" si="3"/>
        <v>0.003666116585242086</v>
      </c>
      <c r="I28" s="10">
        <f t="shared" si="4"/>
        <v>0.033327798811483435</v>
      </c>
      <c r="J28" s="109">
        <f t="shared" si="5"/>
        <v>2509.7392246031404</v>
      </c>
    </row>
    <row r="29" spans="1:10" ht="12.75" outlineLevel="1">
      <c r="A29" s="92" t="s">
        <v>64</v>
      </c>
      <c r="B29" s="9">
        <f>3+1</f>
        <v>4</v>
      </c>
      <c r="C29" s="7">
        <f t="shared" si="0"/>
        <v>0.00027710426047800486</v>
      </c>
      <c r="D29" s="9"/>
      <c r="E29" s="7">
        <f t="shared" si="1"/>
        <v>0</v>
      </c>
      <c r="F29" s="9">
        <v>159</v>
      </c>
      <c r="G29" s="7">
        <f t="shared" si="2"/>
        <v>0.005422549621444649</v>
      </c>
      <c r="H29" s="5">
        <f t="shared" si="3"/>
        <v>0.0018998846273075513</v>
      </c>
      <c r="I29" s="10">
        <f t="shared" si="4"/>
        <v>0.0172714018094313</v>
      </c>
      <c r="J29" s="109">
        <f t="shared" si="5"/>
        <v>1300.617386410645</v>
      </c>
    </row>
    <row r="30" spans="1:10" ht="12.75" outlineLevel="1">
      <c r="A30" s="92" t="s">
        <v>126</v>
      </c>
      <c r="B30" s="9">
        <v>1</v>
      </c>
      <c r="C30" s="7">
        <f t="shared" si="0"/>
        <v>6.927606511950121E-05</v>
      </c>
      <c r="D30" s="9">
        <f>4+1</f>
        <v>5</v>
      </c>
      <c r="E30" s="7">
        <f t="shared" si="1"/>
        <v>0.00108837614279495</v>
      </c>
      <c r="F30" s="9">
        <v>34</v>
      </c>
      <c r="G30" s="7">
        <f t="shared" si="2"/>
        <v>0.0011595389127617489</v>
      </c>
      <c r="H30" s="5">
        <f t="shared" si="3"/>
        <v>0.0007723970402254</v>
      </c>
      <c r="I30" s="10">
        <f t="shared" si="4"/>
        <v>0.007021678814809857</v>
      </c>
      <c r="J30" s="109">
        <f t="shared" si="5"/>
        <v>528.7652762120356</v>
      </c>
    </row>
    <row r="31" spans="1:12" ht="12.75" outlineLevel="1">
      <c r="A31" s="92" t="s">
        <v>334</v>
      </c>
      <c r="B31" s="9"/>
      <c r="C31" s="7">
        <f t="shared" si="0"/>
        <v>0</v>
      </c>
      <c r="D31" s="9">
        <f>1+1+1+1+1</f>
        <v>5</v>
      </c>
      <c r="E31" s="7">
        <f t="shared" si="1"/>
        <v>0.00108837614279495</v>
      </c>
      <c r="F31" s="9"/>
      <c r="G31" s="7">
        <f t="shared" si="2"/>
        <v>0</v>
      </c>
      <c r="H31" s="5">
        <f t="shared" si="3"/>
        <v>0.00036279204759831664</v>
      </c>
      <c r="I31" s="10">
        <f t="shared" si="4"/>
        <v>0.0032980567015886116</v>
      </c>
      <c r="J31" s="109">
        <f t="shared" si="5"/>
        <v>248.3591045349859</v>
      </c>
      <c r="L31">
        <v>706205</v>
      </c>
    </row>
    <row r="32" spans="1:10" ht="12.75" outlineLevel="1">
      <c r="A32" s="92" t="s">
        <v>92</v>
      </c>
      <c r="B32" s="9">
        <f>1+10</f>
        <v>11</v>
      </c>
      <c r="C32" s="7">
        <f t="shared" si="0"/>
        <v>0.0007620367163145134</v>
      </c>
      <c r="D32" s="9">
        <f>48+3+4+2+1</f>
        <v>58</v>
      </c>
      <c r="E32" s="7">
        <f t="shared" si="1"/>
        <v>0.012625163256421419</v>
      </c>
      <c r="F32" s="9">
        <v>108</v>
      </c>
      <c r="G32" s="7">
        <f t="shared" si="2"/>
        <v>0.003683241252302026</v>
      </c>
      <c r="H32" s="5">
        <f t="shared" si="3"/>
        <v>0.005690147075012653</v>
      </c>
      <c r="I32" s="10">
        <f t="shared" si="4"/>
        <v>0.0517277812951085</v>
      </c>
      <c r="J32" s="109">
        <f t="shared" si="5"/>
        <v>3895.3440175381315</v>
      </c>
    </row>
    <row r="33" spans="1:10" ht="12.75" outlineLevel="1">
      <c r="A33" s="92" t="s">
        <v>289</v>
      </c>
      <c r="B33" s="9"/>
      <c r="C33" s="7">
        <f t="shared" si="0"/>
        <v>0</v>
      </c>
      <c r="D33" s="9">
        <v>10</v>
      </c>
      <c r="E33" s="7">
        <f t="shared" si="1"/>
        <v>0.0021767522855899</v>
      </c>
      <c r="F33" s="9">
        <v>34</v>
      </c>
      <c r="G33" s="7">
        <f t="shared" si="2"/>
        <v>0.0011595389127617489</v>
      </c>
      <c r="H33" s="5">
        <f t="shared" si="3"/>
        <v>0.0011120970661172163</v>
      </c>
      <c r="I33" s="10">
        <f t="shared" si="4"/>
        <v>0.010109811408506567</v>
      </c>
      <c r="J33" s="109">
        <f t="shared" si="5"/>
        <v>761.3161129779364</v>
      </c>
    </row>
    <row r="34" spans="1:12" ht="12.75" outlineLevel="1">
      <c r="A34" s="92" t="s">
        <v>331</v>
      </c>
      <c r="B34" s="9">
        <f>316+924</f>
        <v>1240</v>
      </c>
      <c r="C34" s="7">
        <f t="shared" si="0"/>
        <v>0.08590232074818151</v>
      </c>
      <c r="D34" s="9">
        <f>12+1+67+2</f>
        <v>82</v>
      </c>
      <c r="E34" s="7">
        <f t="shared" si="1"/>
        <v>0.01784936874183718</v>
      </c>
      <c r="F34" s="9">
        <v>334</v>
      </c>
      <c r="G34" s="7">
        <f t="shared" si="2"/>
        <v>0.01139076461360071</v>
      </c>
      <c r="H34" s="5">
        <f t="shared" si="3"/>
        <v>0.0383808180345398</v>
      </c>
      <c r="I34" s="10">
        <f t="shared" si="4"/>
        <v>0.3489109393914244</v>
      </c>
      <c r="J34" s="109">
        <f t="shared" si="5"/>
        <v>26274.626639370614</v>
      </c>
      <c r="L34">
        <v>706404</v>
      </c>
    </row>
    <row r="35" spans="1:12" ht="12.75" outlineLevel="1">
      <c r="A35" s="92" t="s">
        <v>330</v>
      </c>
      <c r="B35" s="9"/>
      <c r="C35" s="7">
        <f t="shared" si="0"/>
        <v>0</v>
      </c>
      <c r="D35" s="9">
        <v>3</v>
      </c>
      <c r="E35" s="7">
        <f t="shared" si="1"/>
        <v>0.00065302568567697</v>
      </c>
      <c r="F35" s="9">
        <v>7</v>
      </c>
      <c r="G35" s="7">
        <f t="shared" si="2"/>
        <v>0.0002387285996862424</v>
      </c>
      <c r="H35" s="5">
        <f t="shared" si="3"/>
        <v>0.0002972514284544041</v>
      </c>
      <c r="I35" s="10">
        <f t="shared" si="4"/>
        <v>0.0027022424338150903</v>
      </c>
      <c r="J35" s="109">
        <f t="shared" si="5"/>
        <v>203.49150176086658</v>
      </c>
      <c r="L35">
        <v>706402</v>
      </c>
    </row>
    <row r="36" spans="1:12" ht="12.75" outlineLevel="1">
      <c r="A36" s="92" t="s">
        <v>329</v>
      </c>
      <c r="B36" s="9"/>
      <c r="C36" s="7">
        <f t="shared" si="0"/>
        <v>0</v>
      </c>
      <c r="D36" s="9"/>
      <c r="E36" s="7">
        <f t="shared" si="1"/>
        <v>0</v>
      </c>
      <c r="F36" s="9">
        <v>16</v>
      </c>
      <c r="G36" s="7">
        <f t="shared" si="2"/>
        <v>0.0005456653707114112</v>
      </c>
      <c r="H36" s="5">
        <f t="shared" si="3"/>
        <v>0.00018188845690380372</v>
      </c>
      <c r="I36" s="10">
        <f t="shared" si="4"/>
        <v>0.001653504943684396</v>
      </c>
      <c r="J36" s="109">
        <f t="shared" si="5"/>
        <v>124.51666066257147</v>
      </c>
      <c r="L36">
        <v>705401</v>
      </c>
    </row>
    <row r="37" spans="1:10" ht="12.75" outlineLevel="1">
      <c r="A37" s="92" t="s">
        <v>97</v>
      </c>
      <c r="B37" s="9">
        <f>58+50</f>
        <v>108</v>
      </c>
      <c r="C37" s="7">
        <f t="shared" si="0"/>
        <v>0.007481815032906131</v>
      </c>
      <c r="D37" s="9">
        <f>3+1+1+12</f>
        <v>17</v>
      </c>
      <c r="E37" s="7">
        <f t="shared" si="1"/>
        <v>0.0037004788855028296</v>
      </c>
      <c r="F37" s="9">
        <v>230</v>
      </c>
      <c r="G37" s="7">
        <f t="shared" si="2"/>
        <v>0.007843939703976536</v>
      </c>
      <c r="H37" s="5">
        <f t="shared" si="3"/>
        <v>0.006342077874128499</v>
      </c>
      <c r="I37" s="10">
        <f t="shared" si="4"/>
        <v>0.05765433000318998</v>
      </c>
      <c r="J37" s="109">
        <f t="shared" si="5"/>
        <v>4341.640871504621</v>
      </c>
    </row>
    <row r="38" spans="1:10" ht="12.75" outlineLevel="1">
      <c r="A38" s="92" t="s">
        <v>257</v>
      </c>
      <c r="B38" s="9"/>
      <c r="C38" s="7">
        <f t="shared" si="0"/>
        <v>0</v>
      </c>
      <c r="D38" s="9"/>
      <c r="E38" s="7">
        <f t="shared" si="1"/>
        <v>0</v>
      </c>
      <c r="F38" s="9">
        <v>20</v>
      </c>
      <c r="G38" s="7">
        <f t="shared" si="2"/>
        <v>0.0006820817133892641</v>
      </c>
      <c r="H38" s="5">
        <f t="shared" si="3"/>
        <v>0.0002273605711297547</v>
      </c>
      <c r="I38" s="10">
        <f t="shared" si="4"/>
        <v>0.0020668811796054954</v>
      </c>
      <c r="J38" s="109">
        <f t="shared" si="5"/>
        <v>155.64582582821438</v>
      </c>
    </row>
    <row r="39" spans="1:10" ht="12.75" outlineLevel="1">
      <c r="A39" s="92" t="s">
        <v>122</v>
      </c>
      <c r="B39" s="9">
        <f>1+3</f>
        <v>4</v>
      </c>
      <c r="C39" s="7">
        <f t="shared" si="0"/>
        <v>0.00027710426047800486</v>
      </c>
      <c r="D39" s="9"/>
      <c r="E39" s="7">
        <f t="shared" si="1"/>
        <v>0</v>
      </c>
      <c r="F39" s="9">
        <v>7</v>
      </c>
      <c r="G39" s="7">
        <f t="shared" si="2"/>
        <v>0.0002387285996862424</v>
      </c>
      <c r="H39" s="5">
        <f t="shared" si="3"/>
        <v>0.00017194428672141575</v>
      </c>
      <c r="I39" s="10">
        <f t="shared" si="4"/>
        <v>0.0015631048444295344</v>
      </c>
      <c r="J39" s="109">
        <f t="shared" si="5"/>
        <v>117.70911011621588</v>
      </c>
    </row>
    <row r="40" spans="1:12" ht="12.75" outlineLevel="1">
      <c r="A40" s="92" t="s">
        <v>327</v>
      </c>
      <c r="B40" s="9">
        <f>8+10+1+1</f>
        <v>20</v>
      </c>
      <c r="C40" s="7">
        <f t="shared" si="0"/>
        <v>0.0013855213023900243</v>
      </c>
      <c r="D40" s="9">
        <f>5+5+2+1+50+8</f>
        <v>71</v>
      </c>
      <c r="E40" s="7">
        <f t="shared" si="1"/>
        <v>0.01545494122768829</v>
      </c>
      <c r="F40" s="9">
        <f>20+525</f>
        <v>545</v>
      </c>
      <c r="G40" s="7">
        <f t="shared" si="2"/>
        <v>0.018586726689857443</v>
      </c>
      <c r="H40" s="5">
        <f t="shared" si="3"/>
        <v>0.01180906307331192</v>
      </c>
      <c r="I40" s="10">
        <f t="shared" si="4"/>
        <v>0.1073533994646461</v>
      </c>
      <c r="J40" s="109">
        <f t="shared" si="5"/>
        <v>8084.213393597347</v>
      </c>
      <c r="L40" t="s">
        <v>336</v>
      </c>
    </row>
    <row r="41" spans="1:12" ht="12.75" outlineLevel="1">
      <c r="A41" s="92" t="s">
        <v>328</v>
      </c>
      <c r="B41" s="9">
        <f>13+13</f>
        <v>26</v>
      </c>
      <c r="C41" s="7">
        <f t="shared" si="0"/>
        <v>0.0018011776931070316</v>
      </c>
      <c r="D41" s="9">
        <f>2+6+3+3+3</f>
        <v>17</v>
      </c>
      <c r="E41" s="7">
        <f t="shared" si="1"/>
        <v>0.0037004788855028296</v>
      </c>
      <c r="F41" s="9">
        <v>62</v>
      </c>
      <c r="G41" s="7">
        <f t="shared" si="2"/>
        <v>0.0021144533115067185</v>
      </c>
      <c r="H41" s="5">
        <f t="shared" si="3"/>
        <v>0.0025387032967055267</v>
      </c>
      <c r="I41" s="10">
        <f t="shared" si="4"/>
        <v>0.023078751247367787</v>
      </c>
      <c r="J41" s="109">
        <f t="shared" si="5"/>
        <v>1737.9379774826323</v>
      </c>
      <c r="L41">
        <v>706204</v>
      </c>
    </row>
    <row r="42" spans="1:10" ht="12.75" outlineLevel="1">
      <c r="A42" s="92" t="s">
        <v>111</v>
      </c>
      <c r="B42" s="9"/>
      <c r="C42" s="7">
        <f t="shared" si="0"/>
        <v>0</v>
      </c>
      <c r="D42" s="9">
        <v>9</v>
      </c>
      <c r="E42" s="7">
        <f t="shared" si="1"/>
        <v>0.00195907705703091</v>
      </c>
      <c r="F42" s="9">
        <v>9</v>
      </c>
      <c r="G42" s="7">
        <f t="shared" si="2"/>
        <v>0.0003069367710251688</v>
      </c>
      <c r="H42" s="5">
        <f t="shared" si="3"/>
        <v>0.0007553379426853596</v>
      </c>
      <c r="I42" s="10">
        <f t="shared" si="4"/>
        <v>0.006866598593681974</v>
      </c>
      <c r="J42" s="109">
        <f t="shared" si="5"/>
        <v>517.0870097856712</v>
      </c>
    </row>
    <row r="43" spans="1:10" ht="12.75" outlineLevel="1">
      <c r="A43" s="92" t="s">
        <v>172</v>
      </c>
      <c r="B43" s="9"/>
      <c r="C43" s="7">
        <f>B43/14435</f>
        <v>0</v>
      </c>
      <c r="D43" s="9"/>
      <c r="E43" s="7">
        <f>D43/4594</f>
        <v>0</v>
      </c>
      <c r="F43" s="9">
        <v>1</v>
      </c>
      <c r="G43" s="7">
        <f>F43/29322</f>
        <v>3.41040856694632E-05</v>
      </c>
      <c r="H43" s="5">
        <f>+(C43+E43+G43)/3</f>
        <v>1.1368028556487733E-05</v>
      </c>
      <c r="I43" s="10">
        <f t="shared" si="4"/>
        <v>0.00010334405898027474</v>
      </c>
      <c r="J43" s="109">
        <f t="shared" si="5"/>
        <v>7.782291291410717</v>
      </c>
    </row>
    <row r="44" spans="1:10" ht="13.5" outlineLevel="1" thickBot="1">
      <c r="A44" s="92" t="s">
        <v>125</v>
      </c>
      <c r="B44" s="9"/>
      <c r="C44" s="7">
        <f t="shared" si="0"/>
        <v>0</v>
      </c>
      <c r="D44" s="9">
        <f>1+1+6</f>
        <v>8</v>
      </c>
      <c r="E44" s="7">
        <f t="shared" si="1"/>
        <v>0.0017414018284719198</v>
      </c>
      <c r="F44" s="9">
        <v>35</v>
      </c>
      <c r="G44" s="7">
        <f t="shared" si="2"/>
        <v>0.001193642998431212</v>
      </c>
      <c r="H44" s="5">
        <f t="shared" si="3"/>
        <v>0.0009783482756343773</v>
      </c>
      <c r="I44" s="11">
        <f t="shared" si="4"/>
        <v>0.008893932786851395</v>
      </c>
      <c r="J44" s="110">
        <f t="shared" si="5"/>
        <v>669.7547624553525</v>
      </c>
    </row>
    <row r="45" spans="1:10" ht="12" customHeight="1" thickBot="1">
      <c r="A45" s="115" t="s">
        <v>277</v>
      </c>
      <c r="B45" s="1">
        <f aca="true" t="shared" si="6" ref="B45:I45">SUM(B8:B44)</f>
        <v>1634</v>
      </c>
      <c r="C45" s="3">
        <f t="shared" si="6"/>
        <v>0.11319709040526499</v>
      </c>
      <c r="D45" s="1">
        <f t="shared" si="6"/>
        <v>505</v>
      </c>
      <c r="E45" s="3">
        <f t="shared" si="6"/>
        <v>0.10992599042228995</v>
      </c>
      <c r="F45" s="1">
        <f t="shared" si="6"/>
        <v>3134</v>
      </c>
      <c r="G45" s="3">
        <f t="shared" si="6"/>
        <v>0.10688220448809765</v>
      </c>
      <c r="H45" s="5">
        <f t="shared" si="6"/>
        <v>0.1100017617718842</v>
      </c>
      <c r="I45" s="11">
        <f t="shared" si="6"/>
        <v>1.0000000000000002</v>
      </c>
      <c r="J45" s="110">
        <f>'FY09-FY08 Comparison'!K7</f>
        <v>75304.68000000001</v>
      </c>
    </row>
    <row r="46" spans="8:10" ht="12.75">
      <c r="H46" s="6"/>
      <c r="J46" s="107"/>
    </row>
  </sheetData>
  <mergeCells count="4">
    <mergeCell ref="I5:J5"/>
    <mergeCell ref="I1:J2"/>
    <mergeCell ref="I3:J3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4" sqref="A14:IV14"/>
    </sheetView>
  </sheetViews>
  <sheetFormatPr defaultColWidth="9.140625" defaultRowHeight="12.75" outlineLevelRow="1" outlineLevelCol="1"/>
  <cols>
    <col min="1" max="1" width="35.00390625" style="0" bestFit="1" customWidth="1"/>
    <col min="2" max="8" width="9.140625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315</v>
      </c>
      <c r="J4" s="157"/>
    </row>
    <row r="5" spans="1:10" ht="13.5" thickBot="1">
      <c r="A5" s="111" t="s">
        <v>127</v>
      </c>
      <c r="B5" s="101" t="s">
        <v>3</v>
      </c>
      <c r="C5" s="102" t="s">
        <v>152</v>
      </c>
      <c r="D5" s="101" t="s">
        <v>118</v>
      </c>
      <c r="E5" s="102" t="s">
        <v>152</v>
      </c>
      <c r="F5" s="101" t="s">
        <v>163</v>
      </c>
      <c r="G5" s="102" t="s">
        <v>152</v>
      </c>
      <c r="H5" s="103" t="s">
        <v>201</v>
      </c>
      <c r="I5" s="148">
        <f>SUM(J8:J19)</f>
        <v>16087.777978655846</v>
      </c>
      <c r="J5" s="149"/>
    </row>
    <row r="6" spans="1:10" ht="12.75">
      <c r="A6" s="114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120</v>
      </c>
      <c r="B8" s="9">
        <f>5+7</f>
        <v>12</v>
      </c>
      <c r="C8" s="7">
        <f aca="true" t="shared" si="0" ref="C8:C19">B8/14435</f>
        <v>0.0008313127814340146</v>
      </c>
      <c r="D8" s="9"/>
      <c r="E8" s="7">
        <f aca="true" t="shared" si="1" ref="E8:E19">D8/4594</f>
        <v>0</v>
      </c>
      <c r="F8" s="9">
        <v>114</v>
      </c>
      <c r="G8" s="7">
        <f aca="true" t="shared" si="2" ref="G8:G19">F8/29322</f>
        <v>0.003887865766318805</v>
      </c>
      <c r="H8" s="5">
        <f aca="true" t="shared" si="3" ref="H8:H20">+(C8+E8+G8)/3</f>
        <v>0.0015730595159176065</v>
      </c>
      <c r="I8" s="10">
        <f>H8/$H$20</f>
        <v>0.06697587901394311</v>
      </c>
      <c r="J8" s="109">
        <f>I8*$J$20</f>
        <v>1077.4957519663362</v>
      </c>
    </row>
    <row r="9" spans="1:10" ht="12.75" outlineLevel="1">
      <c r="A9" s="92" t="s">
        <v>274</v>
      </c>
      <c r="B9" s="9"/>
      <c r="C9" s="7">
        <f t="shared" si="0"/>
        <v>0</v>
      </c>
      <c r="D9" s="9">
        <f>2+1+4+2+1+1+1</f>
        <v>12</v>
      </c>
      <c r="E9" s="7">
        <f t="shared" si="1"/>
        <v>0.00261210274270788</v>
      </c>
      <c r="F9" s="9">
        <v>38</v>
      </c>
      <c r="G9" s="7">
        <f t="shared" si="2"/>
        <v>0.0012959552554396017</v>
      </c>
      <c r="H9" s="5">
        <f t="shared" si="3"/>
        <v>0.001302685999382494</v>
      </c>
      <c r="I9" s="10">
        <f>H9/$H$20</f>
        <v>0.055464233237802925</v>
      </c>
      <c r="J9" s="109">
        <f>I9*$J$20</f>
        <v>892.2984898393241</v>
      </c>
    </row>
    <row r="10" spans="1:10" ht="12.75" outlineLevel="1">
      <c r="A10" s="92" t="s">
        <v>275</v>
      </c>
      <c r="B10" s="9"/>
      <c r="C10" s="7">
        <f t="shared" si="0"/>
        <v>0</v>
      </c>
      <c r="D10" s="9">
        <f>4+2+1+11+5+1+1+1+2+1+3</f>
        <v>32</v>
      </c>
      <c r="E10" s="7">
        <f t="shared" si="1"/>
        <v>0.006965607313887679</v>
      </c>
      <c r="F10" s="9">
        <v>38</v>
      </c>
      <c r="G10" s="7">
        <f t="shared" si="2"/>
        <v>0.0012959552554396017</v>
      </c>
      <c r="H10" s="5">
        <f t="shared" si="3"/>
        <v>0.0027538541897757607</v>
      </c>
      <c r="I10" s="10">
        <f>H10/$H$20</f>
        <v>0.1172503666708834</v>
      </c>
      <c r="J10" s="109">
        <f>I10*$J$20</f>
        <v>1886.3025594344379</v>
      </c>
    </row>
    <row r="11" spans="1:10" ht="12.75" outlineLevel="1">
      <c r="A11" s="92" t="s">
        <v>5</v>
      </c>
      <c r="B11" s="9">
        <v>1</v>
      </c>
      <c r="C11" s="7">
        <f t="shared" si="0"/>
        <v>6.927606511950121E-05</v>
      </c>
      <c r="D11" s="9">
        <f>1</f>
        <v>1</v>
      </c>
      <c r="E11" s="7">
        <f t="shared" si="1"/>
        <v>0.00021767522855898998</v>
      </c>
      <c r="F11" s="9">
        <f>17+5+61</f>
        <v>83</v>
      </c>
      <c r="G11" s="7">
        <f t="shared" si="2"/>
        <v>0.002830639110565446</v>
      </c>
      <c r="H11" s="5">
        <f t="shared" si="3"/>
        <v>0.0010391968014146456</v>
      </c>
      <c r="I11" s="10">
        <f>H11/$H$20</f>
        <v>0.04424569988543875</v>
      </c>
      <c r="J11" s="109">
        <f>I11*$J$20</f>
        <v>711.8167670395594</v>
      </c>
    </row>
    <row r="12" spans="1:10" ht="12.75" outlineLevel="1">
      <c r="A12" s="92" t="s">
        <v>212</v>
      </c>
      <c r="B12" s="9"/>
      <c r="C12" s="7">
        <f t="shared" si="0"/>
        <v>0</v>
      </c>
      <c r="D12" s="9"/>
      <c r="E12" s="7">
        <f t="shared" si="1"/>
        <v>0</v>
      </c>
      <c r="F12" s="9">
        <v>9</v>
      </c>
      <c r="G12" s="7">
        <f t="shared" si="2"/>
        <v>0.0003069367710251688</v>
      </c>
      <c r="H12" s="5">
        <f t="shared" si="3"/>
        <v>0.00010231225700838959</v>
      </c>
      <c r="I12" s="10">
        <f>H12/DCM!$H$45</f>
        <v>0.0009300965308224727</v>
      </c>
      <c r="J12" s="109">
        <f>I12*DCM!$J$45</f>
        <v>70.04062162269645</v>
      </c>
    </row>
    <row r="13" spans="1:10" ht="12.75" outlineLevel="1">
      <c r="A13" s="92" t="s">
        <v>121</v>
      </c>
      <c r="B13" s="9"/>
      <c r="C13" s="7">
        <f t="shared" si="0"/>
        <v>0</v>
      </c>
      <c r="D13" s="9">
        <v>46</v>
      </c>
      <c r="E13" s="7">
        <f t="shared" si="1"/>
        <v>0.01001306051371354</v>
      </c>
      <c r="F13" s="9">
        <v>398</v>
      </c>
      <c r="G13" s="7">
        <f t="shared" si="2"/>
        <v>0.013573426096446354</v>
      </c>
      <c r="H13" s="5">
        <f t="shared" si="3"/>
        <v>0.007862162203386631</v>
      </c>
      <c r="I13" s="10">
        <f aca="true" t="shared" si="4" ref="I13:I19">H13/$H$20</f>
        <v>0.33474590070729426</v>
      </c>
      <c r="J13" s="109">
        <f aca="true" t="shared" si="5" ref="J13:J19">I13*$J$20</f>
        <v>5385.331126825021</v>
      </c>
    </row>
    <row r="14" spans="1:10" ht="12.75" outlineLevel="1">
      <c r="A14" s="92" t="s">
        <v>65</v>
      </c>
      <c r="B14" s="9"/>
      <c r="C14" s="7">
        <f t="shared" si="0"/>
        <v>0</v>
      </c>
      <c r="D14" s="9">
        <v>9</v>
      </c>
      <c r="E14" s="7">
        <f t="shared" si="1"/>
        <v>0.00195907705703091</v>
      </c>
      <c r="F14" s="9">
        <v>90</v>
      </c>
      <c r="G14" s="7">
        <f t="shared" si="2"/>
        <v>0.003069367710251688</v>
      </c>
      <c r="H14" s="5">
        <f t="shared" si="3"/>
        <v>0.0016761482557608662</v>
      </c>
      <c r="I14" s="10">
        <f t="shared" si="4"/>
        <v>0.07136507020319985</v>
      </c>
      <c r="J14" s="109">
        <f t="shared" si="5"/>
        <v>1148.1082609863022</v>
      </c>
    </row>
    <row r="15" spans="1:10" ht="12.75" outlineLevel="1">
      <c r="A15" s="92" t="s">
        <v>273</v>
      </c>
      <c r="B15" s="9"/>
      <c r="C15" s="7">
        <f t="shared" si="0"/>
        <v>0</v>
      </c>
      <c r="D15" s="9">
        <f>24+2+1</f>
        <v>27</v>
      </c>
      <c r="E15" s="7">
        <f t="shared" si="1"/>
        <v>0.0058772311710927295</v>
      </c>
      <c r="F15" s="9">
        <v>4</v>
      </c>
      <c r="G15" s="7">
        <f t="shared" si="2"/>
        <v>0.0001364163426778528</v>
      </c>
      <c r="H15" s="5">
        <f t="shared" si="3"/>
        <v>0.0020045491712568607</v>
      </c>
      <c r="I15" s="10">
        <f t="shared" si="4"/>
        <v>0.085347338363917</v>
      </c>
      <c r="J15" s="109">
        <f t="shared" si="5"/>
        <v>1373.0524463831143</v>
      </c>
    </row>
    <row r="16" spans="1:10" s="4" customFormat="1" ht="12.75" outlineLevel="1">
      <c r="A16" s="92" t="s">
        <v>246</v>
      </c>
      <c r="B16" s="9"/>
      <c r="C16" s="7">
        <f t="shared" si="0"/>
        <v>0</v>
      </c>
      <c r="D16" s="9">
        <v>8</v>
      </c>
      <c r="E16" s="7">
        <f t="shared" si="1"/>
        <v>0.0017414018284719198</v>
      </c>
      <c r="F16" s="9">
        <v>78</v>
      </c>
      <c r="G16" s="7">
        <f t="shared" si="2"/>
        <v>0.0026601186822181296</v>
      </c>
      <c r="H16" s="5">
        <f t="shared" si="3"/>
        <v>0.0014671735035633497</v>
      </c>
      <c r="I16" s="10">
        <f t="shared" si="4"/>
        <v>0.06246758884377066</v>
      </c>
      <c r="J16" s="109">
        <f t="shared" si="5"/>
        <v>1004.9672002174128</v>
      </c>
    </row>
    <row r="17" spans="1:10" s="4" customFormat="1" ht="12.75" outlineLevel="1">
      <c r="A17" s="92" t="s">
        <v>288</v>
      </c>
      <c r="B17" s="9"/>
      <c r="C17" s="7">
        <f t="shared" si="0"/>
        <v>0</v>
      </c>
      <c r="D17" s="9">
        <f>29+5+6+6</f>
        <v>46</v>
      </c>
      <c r="E17" s="7">
        <f t="shared" si="1"/>
        <v>0.01001306051371354</v>
      </c>
      <c r="F17" s="9">
        <v>5</v>
      </c>
      <c r="G17" s="7">
        <f t="shared" si="2"/>
        <v>0.00017052042834731602</v>
      </c>
      <c r="H17" s="5">
        <f t="shared" si="3"/>
        <v>0.003394526980686952</v>
      </c>
      <c r="I17" s="10">
        <f t="shared" si="4"/>
        <v>0.14452817968265805</v>
      </c>
      <c r="J17" s="109">
        <f t="shared" si="5"/>
        <v>2325.1430506059005</v>
      </c>
    </row>
    <row r="18" spans="1:10" s="4" customFormat="1" ht="12.75" outlineLevel="1">
      <c r="A18" s="92" t="s">
        <v>213</v>
      </c>
      <c r="B18" s="9"/>
      <c r="C18" s="7">
        <f t="shared" si="0"/>
        <v>0</v>
      </c>
      <c r="D18" s="9">
        <v>1</v>
      </c>
      <c r="E18" s="7">
        <f t="shared" si="1"/>
        <v>0.00021767522855898998</v>
      </c>
      <c r="F18" s="9">
        <v>20</v>
      </c>
      <c r="G18" s="7">
        <f t="shared" si="2"/>
        <v>0.0006820817133892641</v>
      </c>
      <c r="H18" s="5">
        <f t="shared" si="3"/>
        <v>0.000299918980649418</v>
      </c>
      <c r="I18" s="10">
        <f t="shared" si="4"/>
        <v>0.01276959781794594</v>
      </c>
      <c r="J18" s="109">
        <f t="shared" si="5"/>
        <v>205.43496562831143</v>
      </c>
    </row>
    <row r="19" spans="1:10" s="4" customFormat="1" ht="13.5" outlineLevel="1" thickBot="1">
      <c r="A19" s="92" t="s">
        <v>255</v>
      </c>
      <c r="B19" s="9"/>
      <c r="C19" s="7">
        <f t="shared" si="0"/>
        <v>0</v>
      </c>
      <c r="D19" s="9"/>
      <c r="E19" s="7">
        <f t="shared" si="1"/>
        <v>0</v>
      </c>
      <c r="F19" s="9">
        <v>1</v>
      </c>
      <c r="G19" s="7">
        <f t="shared" si="2"/>
        <v>3.41040856694632E-05</v>
      </c>
      <c r="H19" s="5">
        <f t="shared" si="3"/>
        <v>1.1368028556487733E-05</v>
      </c>
      <c r="I19" s="10">
        <f t="shared" si="4"/>
        <v>0.0004840145573145959</v>
      </c>
      <c r="J19" s="109">
        <f t="shared" si="5"/>
        <v>7.786738107427787</v>
      </c>
    </row>
    <row r="20" spans="1:10" ht="13.5" thickBot="1">
      <c r="A20" s="115" t="s">
        <v>276</v>
      </c>
      <c r="B20" s="1">
        <f>SUM(B8:B14)</f>
        <v>13</v>
      </c>
      <c r="C20" s="3">
        <f>SUM(C8:C19)</f>
        <v>0.0009005888465535158</v>
      </c>
      <c r="D20" s="1">
        <f>SUM(D8:D14)</f>
        <v>100</v>
      </c>
      <c r="E20" s="3">
        <f>SUM(E8:E19)</f>
        <v>0.03961689159773618</v>
      </c>
      <c r="F20" s="1">
        <f>SUM(F8:F19)</f>
        <v>878</v>
      </c>
      <c r="G20" s="3">
        <f>SUM(G8:G19)</f>
        <v>0.029943387217788688</v>
      </c>
      <c r="H20" s="5">
        <f t="shared" si="3"/>
        <v>0.023486955887359464</v>
      </c>
      <c r="I20" s="119">
        <f>SUM(I8:I19)</f>
        <v>0.9965739655149911</v>
      </c>
      <c r="J20" s="120">
        <f>'FY09-FY08 Comparison'!K9</f>
        <v>16087.818</v>
      </c>
    </row>
  </sheetData>
  <mergeCells count="4">
    <mergeCell ref="I4:J4"/>
    <mergeCell ref="I5:J5"/>
    <mergeCell ref="I1:J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34.8515625" style="0" customWidth="1"/>
    <col min="2" max="8" width="0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317</v>
      </c>
      <c r="J4" s="157"/>
    </row>
    <row r="5" spans="1:10" ht="13.5" thickBot="1">
      <c r="A5" s="94" t="s">
        <v>6</v>
      </c>
      <c r="B5" s="101" t="s">
        <v>3</v>
      </c>
      <c r="C5" s="102" t="s">
        <v>152</v>
      </c>
      <c r="D5" s="101" t="s">
        <v>118</v>
      </c>
      <c r="E5" s="102" t="s">
        <v>152</v>
      </c>
      <c r="F5" s="101" t="s">
        <v>163</v>
      </c>
      <c r="G5" s="102" t="s">
        <v>152</v>
      </c>
      <c r="H5" s="104" t="s">
        <v>201</v>
      </c>
      <c r="I5" s="148">
        <f>SUM(J8:J47)</f>
        <v>79549.1256</v>
      </c>
      <c r="J5" s="149"/>
    </row>
    <row r="6" spans="1:10" ht="12.75">
      <c r="A6" s="114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218</v>
      </c>
      <c r="B8" s="9">
        <f>4+4</f>
        <v>8</v>
      </c>
      <c r="C8" s="19">
        <f>B8/14435</f>
        <v>0.0005542085209560097</v>
      </c>
      <c r="D8" s="9">
        <f>4+1</f>
        <v>5</v>
      </c>
      <c r="E8" s="19">
        <f>D8/4594</f>
        <v>0.00108837614279495</v>
      </c>
      <c r="F8" s="9">
        <v>13</v>
      </c>
      <c r="G8" s="19">
        <f>F8/29322</f>
        <v>0.0004433531137030216</v>
      </c>
      <c r="H8" s="5">
        <f>+(C8+E8+G8)/3</f>
        <v>0.0006953125924846604</v>
      </c>
      <c r="I8" s="10">
        <f>H8/$H$48</f>
        <v>0.005983225576411141</v>
      </c>
      <c r="J8" s="109">
        <f>I8*$J$48</f>
        <v>475.9603628710623</v>
      </c>
    </row>
    <row r="9" spans="1:10" ht="12.75" outlineLevel="1">
      <c r="A9" s="92" t="s">
        <v>133</v>
      </c>
      <c r="B9" s="9"/>
      <c r="C9" s="19">
        <f aca="true" t="shared" si="0" ref="C9:C47">B9/14435</f>
        <v>0</v>
      </c>
      <c r="D9" s="9">
        <v>17</v>
      </c>
      <c r="E9" s="19">
        <f aca="true" t="shared" si="1" ref="E9:E47">D9/4594</f>
        <v>0.0037004788855028296</v>
      </c>
      <c r="F9" s="9"/>
      <c r="G9" s="19">
        <f aca="true" t="shared" si="2" ref="G9:G47">F9/29322</f>
        <v>0</v>
      </c>
      <c r="H9" s="5">
        <f aca="true" t="shared" si="3" ref="H9:H47">+(C9+E9+G9)/3</f>
        <v>0.0012334929618342766</v>
      </c>
      <c r="I9" s="10">
        <f aca="true" t="shared" si="4" ref="I9:I47">H9/$H$48</f>
        <v>0.010614314651194518</v>
      </c>
      <c r="J9" s="109">
        <f aca="true" t="shared" si="5" ref="J9:J47">I9*$J$48</f>
        <v>844.3594493457929</v>
      </c>
    </row>
    <row r="10" spans="1:10" ht="12.75" outlineLevel="1">
      <c r="A10" s="92" t="s">
        <v>135</v>
      </c>
      <c r="B10" s="9">
        <f>2+2</f>
        <v>4</v>
      </c>
      <c r="C10" s="19">
        <f t="shared" si="0"/>
        <v>0.00027710426047800486</v>
      </c>
      <c r="D10" s="9">
        <f>6+1+2+4+1+1</f>
        <v>15</v>
      </c>
      <c r="E10" s="19">
        <f t="shared" si="1"/>
        <v>0.0032651284283848497</v>
      </c>
      <c r="F10" s="9">
        <v>138</v>
      </c>
      <c r="G10" s="19">
        <f t="shared" si="2"/>
        <v>0.004706363822385922</v>
      </c>
      <c r="H10" s="5">
        <f t="shared" si="3"/>
        <v>0.0027495321704162586</v>
      </c>
      <c r="I10" s="10">
        <f t="shared" si="4"/>
        <v>0.023659964428966857</v>
      </c>
      <c r="J10" s="109">
        <f t="shared" si="5"/>
        <v>1882.1294820514167</v>
      </c>
    </row>
    <row r="11" spans="1:10" ht="12.75" outlineLevel="1">
      <c r="A11" s="92" t="s">
        <v>19</v>
      </c>
      <c r="B11" s="9">
        <f>98+225</f>
        <v>323</v>
      </c>
      <c r="C11" s="19">
        <f t="shared" si="0"/>
        <v>0.022376169033598892</v>
      </c>
      <c r="D11" s="9">
        <f>20+20+20+20</f>
        <v>80</v>
      </c>
      <c r="E11" s="19">
        <f t="shared" si="1"/>
        <v>0.0174140182847192</v>
      </c>
      <c r="F11" s="9">
        <v>181</v>
      </c>
      <c r="G11" s="19">
        <f t="shared" si="2"/>
        <v>0.006172839506172839</v>
      </c>
      <c r="H11" s="5">
        <f t="shared" si="3"/>
        <v>0.015321008941496976</v>
      </c>
      <c r="I11" s="10">
        <f t="shared" si="4"/>
        <v>0.1318386198466711</v>
      </c>
      <c r="J11" s="109">
        <f t="shared" si="5"/>
        <v>10487.646929113493</v>
      </c>
    </row>
    <row r="12" spans="1:10" ht="12.75" outlineLevel="1">
      <c r="A12" s="92" t="s">
        <v>21</v>
      </c>
      <c r="B12" s="9">
        <f>46+45</f>
        <v>91</v>
      </c>
      <c r="C12" s="19">
        <f t="shared" si="0"/>
        <v>0.006304121925874611</v>
      </c>
      <c r="D12" s="9">
        <f>5+9+4+1</f>
        <v>19</v>
      </c>
      <c r="E12" s="19">
        <f t="shared" si="1"/>
        <v>0.00413582934262081</v>
      </c>
      <c r="F12" s="9">
        <v>118</v>
      </c>
      <c r="G12" s="19">
        <f t="shared" si="2"/>
        <v>0.004024282108996658</v>
      </c>
      <c r="H12" s="5">
        <f t="shared" si="3"/>
        <v>0.0048214111258306925</v>
      </c>
      <c r="I12" s="10">
        <f t="shared" si="4"/>
        <v>0.04148866376686519</v>
      </c>
      <c r="J12" s="109">
        <f t="shared" si="5"/>
        <v>3300.386924966528</v>
      </c>
    </row>
    <row r="13" spans="1:10" ht="12.75" outlineLevel="1">
      <c r="A13" s="92" t="s">
        <v>221</v>
      </c>
      <c r="B13" s="9">
        <f>7+72</f>
        <v>79</v>
      </c>
      <c r="C13" s="19">
        <f t="shared" si="0"/>
        <v>0.005472809144440596</v>
      </c>
      <c r="D13" s="9">
        <v>11</v>
      </c>
      <c r="E13" s="19">
        <f t="shared" si="1"/>
        <v>0.00239442751414889</v>
      </c>
      <c r="F13" s="9">
        <v>44</v>
      </c>
      <c r="G13" s="19">
        <f t="shared" si="2"/>
        <v>0.001500579769456381</v>
      </c>
      <c r="H13" s="5">
        <f t="shared" si="3"/>
        <v>0.003122605476015289</v>
      </c>
      <c r="I13" s="10">
        <f t="shared" si="4"/>
        <v>0.02687029280222383</v>
      </c>
      <c r="J13" s="109">
        <f t="shared" si="5"/>
        <v>2137.5082970328795</v>
      </c>
    </row>
    <row r="14" spans="1:10" ht="12.75" outlineLevel="1">
      <c r="A14" s="92" t="s">
        <v>39</v>
      </c>
      <c r="B14" s="9">
        <f>4+4</f>
        <v>8</v>
      </c>
      <c r="C14" s="19">
        <f t="shared" si="0"/>
        <v>0.0005542085209560097</v>
      </c>
      <c r="D14" s="9">
        <f>11+8</f>
        <v>19</v>
      </c>
      <c r="E14" s="19">
        <f t="shared" si="1"/>
        <v>0.00413582934262081</v>
      </c>
      <c r="F14" s="9">
        <v>83</v>
      </c>
      <c r="G14" s="19">
        <f t="shared" si="2"/>
        <v>0.002830639110565446</v>
      </c>
      <c r="H14" s="5">
        <f t="shared" si="3"/>
        <v>0.0025068923247140887</v>
      </c>
      <c r="I14" s="10">
        <f t="shared" si="4"/>
        <v>0.02157202736820709</v>
      </c>
      <c r="J14" s="109">
        <f t="shared" si="5"/>
        <v>1716.0359145601433</v>
      </c>
    </row>
    <row r="15" spans="1:10" ht="12.75" outlineLevel="1">
      <c r="A15" s="92" t="s">
        <v>137</v>
      </c>
      <c r="B15" s="9"/>
      <c r="C15" s="19">
        <f t="shared" si="0"/>
        <v>0</v>
      </c>
      <c r="D15" s="9"/>
      <c r="E15" s="19">
        <f t="shared" si="1"/>
        <v>0</v>
      </c>
      <c r="F15" s="9">
        <v>2</v>
      </c>
      <c r="G15" s="19">
        <f t="shared" si="2"/>
        <v>6.82081713389264E-05</v>
      </c>
      <c r="H15" s="5">
        <f t="shared" si="3"/>
        <v>2.2736057112975465E-05</v>
      </c>
      <c r="I15" s="10">
        <f t="shared" si="4"/>
        <v>0.0001956457568803493</v>
      </c>
      <c r="J15" s="109">
        <f t="shared" si="5"/>
        <v>15.56344888718197</v>
      </c>
    </row>
    <row r="16" spans="1:10" ht="12.75" outlineLevel="1">
      <c r="A16" s="92" t="s">
        <v>184</v>
      </c>
      <c r="B16" s="9"/>
      <c r="C16" s="19">
        <f t="shared" si="0"/>
        <v>0</v>
      </c>
      <c r="D16" s="9"/>
      <c r="E16" s="19">
        <f t="shared" si="1"/>
        <v>0</v>
      </c>
      <c r="F16" s="9">
        <v>35</v>
      </c>
      <c r="G16" s="19">
        <f t="shared" si="2"/>
        <v>0.001193642998431212</v>
      </c>
      <c r="H16" s="5">
        <f t="shared" si="3"/>
        <v>0.0003978809994770707</v>
      </c>
      <c r="I16" s="10">
        <f t="shared" si="4"/>
        <v>0.003423800745406113</v>
      </c>
      <c r="J16" s="109">
        <f t="shared" si="5"/>
        <v>272.3603555256845</v>
      </c>
    </row>
    <row r="17" spans="1:10" ht="12.75" outlineLevel="1">
      <c r="A17" s="92" t="s">
        <v>5</v>
      </c>
      <c r="B17" s="9"/>
      <c r="C17" s="19">
        <f t="shared" si="0"/>
        <v>0</v>
      </c>
      <c r="D17" s="9">
        <f>2+1+10+2</f>
        <v>15</v>
      </c>
      <c r="E17" s="19">
        <f t="shared" si="1"/>
        <v>0.0032651284283848497</v>
      </c>
      <c r="F17" s="9">
        <v>72</v>
      </c>
      <c r="G17" s="19">
        <f t="shared" si="2"/>
        <v>0.0024554941682013503</v>
      </c>
      <c r="H17" s="5">
        <f t="shared" si="3"/>
        <v>0.0019068741988620668</v>
      </c>
      <c r="I17" s="10">
        <f t="shared" si="4"/>
        <v>0.016408818998746563</v>
      </c>
      <c r="J17" s="109">
        <f t="shared" si="5"/>
        <v>1305.3072034789566</v>
      </c>
    </row>
    <row r="18" spans="1:10" ht="12.75" outlineLevel="1">
      <c r="A18" s="92" t="s">
        <v>35</v>
      </c>
      <c r="B18" s="9">
        <f>3+32</f>
        <v>35</v>
      </c>
      <c r="C18" s="19">
        <f t="shared" si="0"/>
        <v>0.0024246622791825423</v>
      </c>
      <c r="D18" s="9">
        <v>20</v>
      </c>
      <c r="E18" s="19">
        <f t="shared" si="1"/>
        <v>0.0043535045711798</v>
      </c>
      <c r="F18" s="9">
        <v>62</v>
      </c>
      <c r="G18" s="19">
        <f t="shared" si="2"/>
        <v>0.0021144533115067185</v>
      </c>
      <c r="H18" s="5">
        <f t="shared" si="3"/>
        <v>0.00296420672062302</v>
      </c>
      <c r="I18" s="10">
        <f t="shared" si="4"/>
        <v>0.025507257679922887</v>
      </c>
      <c r="J18" s="109">
        <f t="shared" si="5"/>
        <v>2029.0800448917503</v>
      </c>
    </row>
    <row r="19" spans="1:10" ht="12.75" outlineLevel="1">
      <c r="A19" s="92" t="s">
        <v>69</v>
      </c>
      <c r="B19" s="9">
        <f>4+9</f>
        <v>13</v>
      </c>
      <c r="C19" s="19">
        <f t="shared" si="0"/>
        <v>0.0009005888465535158</v>
      </c>
      <c r="D19" s="9">
        <f>5+1</f>
        <v>6</v>
      </c>
      <c r="E19" s="19">
        <f t="shared" si="1"/>
        <v>0.00130605137135394</v>
      </c>
      <c r="F19" s="9">
        <v>46</v>
      </c>
      <c r="G19" s="19">
        <f t="shared" si="2"/>
        <v>0.0015687879407953072</v>
      </c>
      <c r="H19" s="5">
        <f t="shared" si="3"/>
        <v>0.001258476052900921</v>
      </c>
      <c r="I19" s="10">
        <f t="shared" si="4"/>
        <v>0.010829296331468133</v>
      </c>
      <c r="J19" s="109">
        <f t="shared" si="5"/>
        <v>861.4610540315778</v>
      </c>
    </row>
    <row r="20" spans="1:10" ht="12.75" outlineLevel="1">
      <c r="A20" s="92" t="s">
        <v>261</v>
      </c>
      <c r="B20" s="9">
        <f>31+114</f>
        <v>145</v>
      </c>
      <c r="C20" s="19">
        <f t="shared" si="0"/>
        <v>0.010045029442327675</v>
      </c>
      <c r="D20" s="9">
        <f>15+6+4+5+2</f>
        <v>32</v>
      </c>
      <c r="E20" s="19">
        <f t="shared" si="1"/>
        <v>0.006965607313887679</v>
      </c>
      <c r="F20" s="9">
        <v>79</v>
      </c>
      <c r="G20" s="19">
        <f t="shared" si="2"/>
        <v>0.002694222767887593</v>
      </c>
      <c r="H20" s="5">
        <f t="shared" si="3"/>
        <v>0.006568286508034316</v>
      </c>
      <c r="I20" s="10">
        <f t="shared" si="4"/>
        <v>0.05652067897639024</v>
      </c>
      <c r="J20" s="109">
        <f t="shared" si="5"/>
        <v>4496.170590890147</v>
      </c>
    </row>
    <row r="21" spans="1:10" ht="12.75" outlineLevel="1">
      <c r="A21" s="92" t="s">
        <v>130</v>
      </c>
      <c r="B21" s="9"/>
      <c r="C21" s="19">
        <f t="shared" si="0"/>
        <v>0</v>
      </c>
      <c r="D21" s="9">
        <f>1+1</f>
        <v>2</v>
      </c>
      <c r="E21" s="19">
        <f t="shared" si="1"/>
        <v>0.00043535045711797995</v>
      </c>
      <c r="F21" s="9">
        <f>27+18</f>
        <v>45</v>
      </c>
      <c r="G21" s="19">
        <f t="shared" si="2"/>
        <v>0.001534683855125844</v>
      </c>
      <c r="H21" s="5">
        <f t="shared" si="3"/>
        <v>0.0006566781040812747</v>
      </c>
      <c r="I21" s="10">
        <f t="shared" si="4"/>
        <v>0.005650772429948391</v>
      </c>
      <c r="J21" s="109">
        <f t="shared" si="5"/>
        <v>449.51400576698177</v>
      </c>
    </row>
    <row r="22" spans="1:10" ht="12.75" outlineLevel="1">
      <c r="A22" s="92" t="s">
        <v>49</v>
      </c>
      <c r="B22" s="9">
        <f>101+10</f>
        <v>111</v>
      </c>
      <c r="C22" s="19">
        <f t="shared" si="0"/>
        <v>0.007689643228264635</v>
      </c>
      <c r="D22" s="9">
        <f>11+3</f>
        <v>14</v>
      </c>
      <c r="E22" s="19">
        <f t="shared" si="1"/>
        <v>0.0030474531998258597</v>
      </c>
      <c r="F22" s="9">
        <v>211</v>
      </c>
      <c r="G22" s="19">
        <f t="shared" si="2"/>
        <v>0.0071959620762567355</v>
      </c>
      <c r="H22" s="5">
        <f t="shared" si="3"/>
        <v>0.005977686168115744</v>
      </c>
      <c r="I22" s="10">
        <f t="shared" si="4"/>
        <v>0.05143851147729396</v>
      </c>
      <c r="J22" s="109">
        <f t="shared" si="5"/>
        <v>4091.8886101842986</v>
      </c>
    </row>
    <row r="23" spans="1:10" ht="12.75" outlineLevel="1">
      <c r="A23" s="92" t="s">
        <v>191</v>
      </c>
      <c r="B23" s="9">
        <v>9</v>
      </c>
      <c r="C23" s="19">
        <f t="shared" si="0"/>
        <v>0.0006234845860755109</v>
      </c>
      <c r="D23" s="9">
        <v>6</v>
      </c>
      <c r="E23" s="19">
        <f t="shared" si="1"/>
        <v>0.00130605137135394</v>
      </c>
      <c r="F23" s="9">
        <v>14</v>
      </c>
      <c r="G23" s="19">
        <f t="shared" si="2"/>
        <v>0.0004774571993724848</v>
      </c>
      <c r="H23" s="5">
        <f t="shared" si="3"/>
        <v>0.0008023310522673119</v>
      </c>
      <c r="I23" s="10">
        <f t="shared" si="4"/>
        <v>0.006904128768213774</v>
      </c>
      <c r="J23" s="109">
        <f t="shared" si="5"/>
        <v>549.2174065412107</v>
      </c>
    </row>
    <row r="24" spans="1:10" ht="12.75" outlineLevel="1">
      <c r="A24" s="92" t="s">
        <v>134</v>
      </c>
      <c r="B24" s="9"/>
      <c r="C24" s="19">
        <f t="shared" si="0"/>
        <v>0</v>
      </c>
      <c r="D24" s="9"/>
      <c r="E24" s="19">
        <f t="shared" si="1"/>
        <v>0</v>
      </c>
      <c r="F24" s="9">
        <v>2</v>
      </c>
      <c r="G24" s="19">
        <f t="shared" si="2"/>
        <v>6.82081713389264E-05</v>
      </c>
      <c r="H24" s="5">
        <f t="shared" si="3"/>
        <v>2.2736057112975465E-05</v>
      </c>
      <c r="I24" s="10">
        <f t="shared" si="4"/>
        <v>0.0001956457568803493</v>
      </c>
      <c r="J24" s="109">
        <f t="shared" si="5"/>
        <v>15.56344888718197</v>
      </c>
    </row>
    <row r="25" spans="1:10" ht="12.75" outlineLevel="1">
      <c r="A25" s="92" t="s">
        <v>53</v>
      </c>
      <c r="B25" s="9">
        <f>47+20</f>
        <v>67</v>
      </c>
      <c r="C25" s="19">
        <f t="shared" si="0"/>
        <v>0.0046414963630065816</v>
      </c>
      <c r="D25" s="9">
        <f>3+3+3+3+3+3+3+3+18+3+3+3+3+2</f>
        <v>56</v>
      </c>
      <c r="E25" s="19">
        <f t="shared" si="1"/>
        <v>0.012189812799303439</v>
      </c>
      <c r="F25" s="9">
        <v>98</v>
      </c>
      <c r="G25" s="19">
        <f t="shared" si="2"/>
        <v>0.0033422003956073937</v>
      </c>
      <c r="H25" s="5">
        <f t="shared" si="3"/>
        <v>0.006724503185972472</v>
      </c>
      <c r="I25" s="10">
        <f t="shared" si="4"/>
        <v>0.05786493713164892</v>
      </c>
      <c r="J25" s="109">
        <f t="shared" si="5"/>
        <v>4603.105151721644</v>
      </c>
    </row>
    <row r="26" spans="1:10" ht="12.75" outlineLevel="1">
      <c r="A26" s="92" t="s">
        <v>131</v>
      </c>
      <c r="B26" s="9"/>
      <c r="C26" s="19">
        <f t="shared" si="0"/>
        <v>0</v>
      </c>
      <c r="D26" s="9">
        <f>2</f>
        <v>2</v>
      </c>
      <c r="E26" s="19">
        <f t="shared" si="1"/>
        <v>0.00043535045711797995</v>
      </c>
      <c r="F26" s="9">
        <v>24</v>
      </c>
      <c r="G26" s="19">
        <f t="shared" si="2"/>
        <v>0.0008184980560671168</v>
      </c>
      <c r="H26" s="5">
        <f t="shared" si="3"/>
        <v>0.00041794950439503223</v>
      </c>
      <c r="I26" s="10">
        <f t="shared" si="4"/>
        <v>0.003596491982704723</v>
      </c>
      <c r="J26" s="109">
        <f t="shared" si="5"/>
        <v>286.097792451571</v>
      </c>
    </row>
    <row r="27" spans="1:10" ht="12.75" outlineLevel="1">
      <c r="A27" s="92" t="s">
        <v>267</v>
      </c>
      <c r="B27" s="9"/>
      <c r="C27" s="19">
        <f t="shared" si="0"/>
        <v>0</v>
      </c>
      <c r="D27" s="9"/>
      <c r="E27" s="19">
        <f t="shared" si="1"/>
        <v>0</v>
      </c>
      <c r="F27" s="9">
        <v>5</v>
      </c>
      <c r="G27" s="19">
        <f t="shared" si="2"/>
        <v>0.00017052042834731602</v>
      </c>
      <c r="H27" s="5">
        <f t="shared" si="3"/>
        <v>5.6840142782438675E-05</v>
      </c>
      <c r="I27" s="10">
        <f t="shared" si="4"/>
        <v>0.0004891143922008733</v>
      </c>
      <c r="J27" s="109">
        <f t="shared" si="5"/>
        <v>38.90862221795493</v>
      </c>
    </row>
    <row r="28" spans="1:10" ht="12.75" outlineLevel="1">
      <c r="A28" s="92" t="s">
        <v>33</v>
      </c>
      <c r="B28" s="9">
        <f>73+31</f>
        <v>104</v>
      </c>
      <c r="C28" s="19">
        <f t="shared" si="0"/>
        <v>0.007204710772428126</v>
      </c>
      <c r="D28" s="9">
        <f>2+3</f>
        <v>5</v>
      </c>
      <c r="E28" s="19">
        <f t="shared" si="1"/>
        <v>0.00108837614279495</v>
      </c>
      <c r="F28" s="9">
        <v>77</v>
      </c>
      <c r="G28" s="19">
        <f t="shared" si="2"/>
        <v>0.0026260145965486667</v>
      </c>
      <c r="H28" s="5">
        <f t="shared" si="3"/>
        <v>0.0036397005039239144</v>
      </c>
      <c r="I28" s="10">
        <f t="shared" si="4"/>
        <v>0.031319940672632815</v>
      </c>
      <c r="J28" s="109">
        <f t="shared" si="5"/>
        <v>2491.4738943518164</v>
      </c>
    </row>
    <row r="29" spans="1:10" ht="12.75" outlineLevel="1">
      <c r="A29" s="92" t="s">
        <v>57</v>
      </c>
      <c r="B29" s="9"/>
      <c r="C29" s="19">
        <f t="shared" si="0"/>
        <v>0</v>
      </c>
      <c r="D29" s="9"/>
      <c r="E29" s="19">
        <f t="shared" si="1"/>
        <v>0</v>
      </c>
      <c r="F29" s="9">
        <v>80</v>
      </c>
      <c r="G29" s="19">
        <f t="shared" si="2"/>
        <v>0.0027283268535570563</v>
      </c>
      <c r="H29" s="5">
        <f t="shared" si="3"/>
        <v>0.0009094422845190188</v>
      </c>
      <c r="I29" s="10">
        <f t="shared" si="4"/>
        <v>0.007825830275213972</v>
      </c>
      <c r="J29" s="109">
        <f t="shared" si="5"/>
        <v>622.5379554872789</v>
      </c>
    </row>
    <row r="30" spans="1:10" ht="12.75" outlineLevel="1">
      <c r="A30" s="92" t="s">
        <v>253</v>
      </c>
      <c r="B30" s="9">
        <f>3+12</f>
        <v>15</v>
      </c>
      <c r="C30" s="19">
        <f t="shared" si="0"/>
        <v>0.0010391409767925182</v>
      </c>
      <c r="D30" s="9"/>
      <c r="E30" s="19">
        <f t="shared" si="1"/>
        <v>0</v>
      </c>
      <c r="F30" s="9">
        <v>20</v>
      </c>
      <c r="G30" s="19">
        <f t="shared" si="2"/>
        <v>0.0006820817133892641</v>
      </c>
      <c r="H30" s="5">
        <f t="shared" si="3"/>
        <v>0.0005737408967272608</v>
      </c>
      <c r="I30" s="10">
        <f t="shared" si="4"/>
        <v>0.0049370905181863834</v>
      </c>
      <c r="J30" s="109">
        <f t="shared" si="5"/>
        <v>392.7412337297777</v>
      </c>
    </row>
    <row r="31" spans="1:10" ht="12.75" outlineLevel="1">
      <c r="A31" s="92" t="s">
        <v>245</v>
      </c>
      <c r="B31" s="9"/>
      <c r="C31" s="19">
        <f t="shared" si="0"/>
        <v>0</v>
      </c>
      <c r="D31" s="9"/>
      <c r="E31" s="19">
        <f t="shared" si="1"/>
        <v>0</v>
      </c>
      <c r="F31" s="9">
        <v>40</v>
      </c>
      <c r="G31" s="19">
        <f t="shared" si="2"/>
        <v>0.0013641634267785282</v>
      </c>
      <c r="H31" s="5">
        <f t="shared" si="3"/>
        <v>0.0004547211422595094</v>
      </c>
      <c r="I31" s="10">
        <f t="shared" si="4"/>
        <v>0.003912915137606986</v>
      </c>
      <c r="J31" s="109">
        <f t="shared" si="5"/>
        <v>311.2689777436394</v>
      </c>
    </row>
    <row r="32" spans="1:10" ht="12.75" outlineLevel="1">
      <c r="A32" s="92" t="s">
        <v>29</v>
      </c>
      <c r="B32" s="9">
        <f>144+114</f>
        <v>258</v>
      </c>
      <c r="C32" s="19">
        <f t="shared" si="0"/>
        <v>0.017873224800831315</v>
      </c>
      <c r="D32" s="9">
        <f>174+3</f>
        <v>177</v>
      </c>
      <c r="E32" s="19">
        <f t="shared" si="1"/>
        <v>0.03852851545494123</v>
      </c>
      <c r="F32" s="9">
        <v>1287</v>
      </c>
      <c r="G32" s="19">
        <f t="shared" si="2"/>
        <v>0.04389195825659914</v>
      </c>
      <c r="H32" s="5">
        <f t="shared" si="3"/>
        <v>0.03343123283745723</v>
      </c>
      <c r="I32" s="10">
        <f t="shared" si="4"/>
        <v>0.28767867794432755</v>
      </c>
      <c r="J32" s="109">
        <f t="shared" si="5"/>
        <v>22884.587284235262</v>
      </c>
    </row>
    <row r="33" spans="1:10" ht="12.75" outlineLevel="1">
      <c r="A33" s="92" t="s">
        <v>251</v>
      </c>
      <c r="B33" s="9"/>
      <c r="C33" s="19">
        <f t="shared" si="0"/>
        <v>0</v>
      </c>
      <c r="D33" s="9"/>
      <c r="E33" s="19">
        <f t="shared" si="1"/>
        <v>0</v>
      </c>
      <c r="F33" s="9">
        <v>15</v>
      </c>
      <c r="G33" s="19">
        <f t="shared" si="2"/>
        <v>0.0005115612850419481</v>
      </c>
      <c r="H33" s="5">
        <f t="shared" si="3"/>
        <v>0.00017052042834731602</v>
      </c>
      <c r="I33" s="10">
        <f t="shared" si="4"/>
        <v>0.0014673431766026198</v>
      </c>
      <c r="J33" s="109">
        <f t="shared" si="5"/>
        <v>116.72586665386478</v>
      </c>
    </row>
    <row r="34" spans="1:10" ht="12.75" outlineLevel="1">
      <c r="A34" s="92" t="s">
        <v>287</v>
      </c>
      <c r="B34" s="9"/>
      <c r="C34" s="19">
        <f t="shared" si="0"/>
        <v>0</v>
      </c>
      <c r="D34" s="9">
        <v>1</v>
      </c>
      <c r="E34" s="19">
        <f t="shared" si="1"/>
        <v>0.00021767522855898998</v>
      </c>
      <c r="F34" s="9">
        <v>1</v>
      </c>
      <c r="G34" s="19">
        <f t="shared" si="2"/>
        <v>3.41040856694632E-05</v>
      </c>
      <c r="H34" s="5">
        <f t="shared" si="3"/>
        <v>8.392643807615106E-05</v>
      </c>
      <c r="I34" s="10">
        <f t="shared" si="4"/>
        <v>0.0007221943285104404</v>
      </c>
      <c r="J34" s="109">
        <f t="shared" si="5"/>
        <v>57.44992734628469</v>
      </c>
    </row>
    <row r="35" spans="1:10" ht="12.75" outlineLevel="1">
      <c r="A35" s="92" t="s">
        <v>79</v>
      </c>
      <c r="B35" s="9"/>
      <c r="C35" s="19">
        <f t="shared" si="0"/>
        <v>0</v>
      </c>
      <c r="D35" s="9"/>
      <c r="E35" s="19">
        <f t="shared" si="1"/>
        <v>0</v>
      </c>
      <c r="F35" s="9">
        <v>64</v>
      </c>
      <c r="G35" s="19">
        <f t="shared" si="2"/>
        <v>0.0021826614828456448</v>
      </c>
      <c r="H35" s="5">
        <f t="shared" si="3"/>
        <v>0.0007275538276152149</v>
      </c>
      <c r="I35" s="10">
        <f t="shared" si="4"/>
        <v>0.006260664220171177</v>
      </c>
      <c r="J35" s="109">
        <f t="shared" si="5"/>
        <v>498.03036438982303</v>
      </c>
    </row>
    <row r="36" spans="1:10" ht="12.75" outlineLevel="1">
      <c r="A36" s="92" t="s">
        <v>80</v>
      </c>
      <c r="B36" s="9">
        <f>96+31</f>
        <v>127</v>
      </c>
      <c r="C36" s="19">
        <f t="shared" si="0"/>
        <v>0.008798060270176654</v>
      </c>
      <c r="D36" s="9">
        <f>3+10+4+2+3+2+4+2+2+10+2+2+3</f>
        <v>49</v>
      </c>
      <c r="E36" s="19">
        <f t="shared" si="1"/>
        <v>0.01066608619939051</v>
      </c>
      <c r="F36" s="9">
        <v>143</v>
      </c>
      <c r="G36" s="19">
        <f t="shared" si="2"/>
        <v>0.004876884250733238</v>
      </c>
      <c r="H36" s="5">
        <f t="shared" si="3"/>
        <v>0.0081136769067668</v>
      </c>
      <c r="I36" s="10">
        <f t="shared" si="4"/>
        <v>0.06981889830849647</v>
      </c>
      <c r="J36" s="109">
        <f t="shared" si="5"/>
        <v>5554.032310796213</v>
      </c>
    </row>
    <row r="37" spans="1:10" ht="12.75" outlineLevel="1">
      <c r="A37" s="92" t="s">
        <v>81</v>
      </c>
      <c r="B37" s="9">
        <v>5</v>
      </c>
      <c r="C37" s="19">
        <f t="shared" si="0"/>
        <v>0.00034638032559750607</v>
      </c>
      <c r="D37" s="9"/>
      <c r="E37" s="19">
        <f t="shared" si="1"/>
        <v>0</v>
      </c>
      <c r="F37" s="9">
        <v>7</v>
      </c>
      <c r="G37" s="19">
        <f t="shared" si="2"/>
        <v>0.0002387285996862424</v>
      </c>
      <c r="H37" s="5">
        <f t="shared" si="3"/>
        <v>0.00019503630842791615</v>
      </c>
      <c r="I37" s="10">
        <f t="shared" si="4"/>
        <v>0.0016783044655421858</v>
      </c>
      <c r="J37" s="109">
        <f t="shared" si="5"/>
        <v>133.50765272445622</v>
      </c>
    </row>
    <row r="38" spans="1:10" s="4" customFormat="1" ht="12.75" outlineLevel="1">
      <c r="A38" s="92" t="s">
        <v>136</v>
      </c>
      <c r="B38" s="9"/>
      <c r="C38" s="19">
        <f t="shared" si="0"/>
        <v>0</v>
      </c>
      <c r="D38" s="9"/>
      <c r="E38" s="19">
        <f t="shared" si="1"/>
        <v>0</v>
      </c>
      <c r="F38" s="9">
        <v>2</v>
      </c>
      <c r="G38" s="19">
        <f t="shared" si="2"/>
        <v>6.82081713389264E-05</v>
      </c>
      <c r="H38" s="5">
        <f t="shared" si="3"/>
        <v>2.2736057112975465E-05</v>
      </c>
      <c r="I38" s="10">
        <f t="shared" si="4"/>
        <v>0.0001956457568803493</v>
      </c>
      <c r="J38" s="109">
        <f t="shared" si="5"/>
        <v>15.56344888718197</v>
      </c>
    </row>
    <row r="39" spans="1:10" ht="12.75" outlineLevel="1">
      <c r="A39" s="92" t="s">
        <v>96</v>
      </c>
      <c r="B39" s="9">
        <f>45+58</f>
        <v>103</v>
      </c>
      <c r="C39" s="19">
        <f t="shared" si="0"/>
        <v>0.007135434707308625</v>
      </c>
      <c r="D39" s="9"/>
      <c r="E39" s="19">
        <f t="shared" si="1"/>
        <v>0</v>
      </c>
      <c r="F39" s="9"/>
      <c r="G39" s="19">
        <f t="shared" si="2"/>
        <v>0</v>
      </c>
      <c r="H39" s="5">
        <f t="shared" si="3"/>
        <v>0.0023784782357695418</v>
      </c>
      <c r="I39" s="10">
        <f t="shared" si="4"/>
        <v>0.020467012919095844</v>
      </c>
      <c r="J39" s="109">
        <f t="shared" si="5"/>
        <v>1628.132981357978</v>
      </c>
    </row>
    <row r="40" spans="1:10" ht="12.75" outlineLevel="1">
      <c r="A40" s="92" t="s">
        <v>132</v>
      </c>
      <c r="B40" s="9"/>
      <c r="C40" s="19">
        <f t="shared" si="0"/>
        <v>0</v>
      </c>
      <c r="D40" s="9">
        <f>8+2+2+4+5+8+9</f>
        <v>38</v>
      </c>
      <c r="E40" s="19">
        <f t="shared" si="1"/>
        <v>0.00827165868524162</v>
      </c>
      <c r="F40" s="9">
        <v>47</v>
      </c>
      <c r="G40" s="19">
        <f t="shared" si="2"/>
        <v>0.0016028920264647706</v>
      </c>
      <c r="H40" s="5">
        <f t="shared" si="3"/>
        <v>0.00329151690390213</v>
      </c>
      <c r="I40" s="10">
        <f t="shared" si="4"/>
        <v>0.02832379038935831</v>
      </c>
      <c r="J40" s="109">
        <f t="shared" si="5"/>
        <v>2253.132759151137</v>
      </c>
    </row>
    <row r="41" spans="1:10" ht="12.75" outlineLevel="1">
      <c r="A41" s="92" t="s">
        <v>259</v>
      </c>
      <c r="B41" s="9">
        <f>26+6</f>
        <v>32</v>
      </c>
      <c r="C41" s="19">
        <f t="shared" si="0"/>
        <v>0.002216834083824039</v>
      </c>
      <c r="D41" s="9"/>
      <c r="E41" s="19">
        <f t="shared" si="1"/>
        <v>0</v>
      </c>
      <c r="F41" s="9">
        <v>22</v>
      </c>
      <c r="G41" s="19">
        <f t="shared" si="2"/>
        <v>0.0007502898847281905</v>
      </c>
      <c r="H41" s="5">
        <f t="shared" si="3"/>
        <v>0.000989041322850743</v>
      </c>
      <c r="I41" s="10">
        <f t="shared" si="4"/>
        <v>0.008510786951034008</v>
      </c>
      <c r="J41" s="109">
        <f t="shared" si="5"/>
        <v>677.0256601226454</v>
      </c>
    </row>
    <row r="42" spans="1:10" ht="12.75" outlineLevel="1">
      <c r="A42" s="92" t="s">
        <v>250</v>
      </c>
      <c r="B42" s="9"/>
      <c r="C42" s="19">
        <f t="shared" si="0"/>
        <v>0</v>
      </c>
      <c r="D42" s="9"/>
      <c r="E42" s="19">
        <f t="shared" si="1"/>
        <v>0</v>
      </c>
      <c r="F42" s="9">
        <v>3</v>
      </c>
      <c r="G42" s="19">
        <f t="shared" si="2"/>
        <v>0.0001023122570083896</v>
      </c>
      <c r="H42" s="5">
        <f t="shared" si="3"/>
        <v>3.41040856694632E-05</v>
      </c>
      <c r="I42" s="10">
        <f t="shared" si="4"/>
        <v>0.0002934686353205239</v>
      </c>
      <c r="J42" s="109">
        <f t="shared" si="5"/>
        <v>23.34517333077295</v>
      </c>
    </row>
    <row r="43" spans="1:10" ht="12.75" outlineLevel="1">
      <c r="A43" s="92" t="s">
        <v>284</v>
      </c>
      <c r="B43" s="9">
        <v>2</v>
      </c>
      <c r="C43" s="19">
        <f t="shared" si="0"/>
        <v>0.00013855213023900243</v>
      </c>
      <c r="D43" s="9"/>
      <c r="E43" s="19">
        <f t="shared" si="1"/>
        <v>0</v>
      </c>
      <c r="F43" s="9"/>
      <c r="G43" s="19">
        <f t="shared" si="2"/>
        <v>0</v>
      </c>
      <c r="H43" s="5">
        <f t="shared" si="3"/>
        <v>4.618404341300081E-05</v>
      </c>
      <c r="I43" s="10">
        <f t="shared" si="4"/>
        <v>0.0003974177265843854</v>
      </c>
      <c r="J43" s="109">
        <f t="shared" si="5"/>
        <v>31.614232647727732</v>
      </c>
    </row>
    <row r="44" spans="1:10" ht="12.75" outlineLevel="1">
      <c r="A44" s="92" t="s">
        <v>109</v>
      </c>
      <c r="B44" s="9">
        <f>1+2</f>
        <v>3</v>
      </c>
      <c r="C44" s="19">
        <f t="shared" si="0"/>
        <v>0.00020782819535850364</v>
      </c>
      <c r="D44" s="9"/>
      <c r="E44" s="19">
        <f t="shared" si="1"/>
        <v>0</v>
      </c>
      <c r="F44" s="9"/>
      <c r="G44" s="19">
        <f t="shared" si="2"/>
        <v>0</v>
      </c>
      <c r="H44" s="5">
        <f t="shared" si="3"/>
        <v>6.927606511950121E-05</v>
      </c>
      <c r="I44" s="10">
        <f t="shared" si="4"/>
        <v>0.000596126589876578</v>
      </c>
      <c r="J44" s="109">
        <f t="shared" si="5"/>
        <v>47.42134897159159</v>
      </c>
    </row>
    <row r="45" spans="1:10" ht="12.75" outlineLevel="1">
      <c r="A45" s="92" t="s">
        <v>177</v>
      </c>
      <c r="B45" s="9">
        <v>2</v>
      </c>
      <c r="C45" s="19">
        <f t="shared" si="0"/>
        <v>0.00013855213023900243</v>
      </c>
      <c r="D45" s="9"/>
      <c r="E45" s="19">
        <f t="shared" si="1"/>
        <v>0</v>
      </c>
      <c r="F45" s="9">
        <v>9</v>
      </c>
      <c r="G45" s="19">
        <f t="shared" si="2"/>
        <v>0.0003069367710251688</v>
      </c>
      <c r="H45" s="5">
        <f t="shared" si="3"/>
        <v>0.0001484963004213904</v>
      </c>
      <c r="I45" s="10">
        <f t="shared" si="4"/>
        <v>0.001277823632545957</v>
      </c>
      <c r="J45" s="109">
        <f t="shared" si="5"/>
        <v>101.64975264004659</v>
      </c>
    </row>
    <row r="46" spans="1:10" ht="12.75" outlineLevel="1">
      <c r="A46" s="92" t="s">
        <v>82</v>
      </c>
      <c r="B46" s="9">
        <f>44+14</f>
        <v>58</v>
      </c>
      <c r="C46" s="19">
        <f t="shared" si="0"/>
        <v>0.00401801177693107</v>
      </c>
      <c r="D46" s="9"/>
      <c r="E46" s="19">
        <f t="shared" si="1"/>
        <v>0</v>
      </c>
      <c r="F46" s="9">
        <v>109</v>
      </c>
      <c r="G46" s="19">
        <f t="shared" si="2"/>
        <v>0.003717345337971489</v>
      </c>
      <c r="H46" s="5">
        <f t="shared" si="3"/>
        <v>0.0025784523716341863</v>
      </c>
      <c r="I46" s="10">
        <f t="shared" si="4"/>
        <v>0.02218780782092621</v>
      </c>
      <c r="J46" s="109">
        <f t="shared" si="5"/>
        <v>1765.0207111355214</v>
      </c>
    </row>
    <row r="47" spans="1:10" ht="13.5" outlineLevel="1" thickBot="1">
      <c r="A47" s="92" t="s">
        <v>176</v>
      </c>
      <c r="B47" s="9"/>
      <c r="C47" s="19">
        <f t="shared" si="0"/>
        <v>0</v>
      </c>
      <c r="D47" s="9"/>
      <c r="E47" s="19">
        <f t="shared" si="1"/>
        <v>0</v>
      </c>
      <c r="F47" s="9">
        <v>11</v>
      </c>
      <c r="G47" s="19">
        <f t="shared" si="2"/>
        <v>0.00037514494236409523</v>
      </c>
      <c r="H47" s="5">
        <f t="shared" si="3"/>
        <v>0.00012504831412136507</v>
      </c>
      <c r="I47" s="10">
        <f t="shared" si="4"/>
        <v>0.001076051662841921</v>
      </c>
      <c r="J47" s="109">
        <f t="shared" si="5"/>
        <v>85.59896887950083</v>
      </c>
    </row>
    <row r="48" spans="1:10" ht="13.5" thickBot="1">
      <c r="A48" s="125" t="s">
        <v>193</v>
      </c>
      <c r="B48" s="122">
        <f aca="true" t="shared" si="6" ref="B48:I48">SUM(B8:B47)</f>
        <v>1602</v>
      </c>
      <c r="C48" s="123">
        <f t="shared" si="6"/>
        <v>0.1109802563214409</v>
      </c>
      <c r="D48" s="122">
        <f t="shared" si="6"/>
        <v>589</v>
      </c>
      <c r="E48" s="123">
        <f t="shared" si="6"/>
        <v>0.12821070962124512</v>
      </c>
      <c r="F48" s="122">
        <f t="shared" si="6"/>
        <v>3209</v>
      </c>
      <c r="G48" s="123">
        <f t="shared" si="6"/>
        <v>0.10944001091330743</v>
      </c>
      <c r="H48" s="123">
        <f t="shared" si="6"/>
        <v>0.11621032561866453</v>
      </c>
      <c r="I48" s="119">
        <f t="shared" si="6"/>
        <v>0.9999999999999996</v>
      </c>
      <c r="J48" s="120">
        <f>'FY09-FY08 Comparison'!K11</f>
        <v>79549.1256</v>
      </c>
    </row>
    <row r="49" ht="12.75">
      <c r="A49" s="4"/>
    </row>
  </sheetData>
  <mergeCells count="4">
    <mergeCell ref="I5:J5"/>
    <mergeCell ref="I1:J2"/>
    <mergeCell ref="I3:J3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47.57421875" style="0" bestFit="1" customWidth="1"/>
    <col min="2" max="8" width="0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321</v>
      </c>
      <c r="J4" s="157"/>
    </row>
    <row r="5" spans="1:10" ht="13.5" thickBot="1">
      <c r="A5" s="94" t="s">
        <v>9</v>
      </c>
      <c r="B5" s="8" t="s">
        <v>3</v>
      </c>
      <c r="C5" s="7" t="s">
        <v>152</v>
      </c>
      <c r="D5" s="8" t="s">
        <v>118</v>
      </c>
      <c r="E5" s="7" t="s">
        <v>152</v>
      </c>
      <c r="F5" s="8" t="s">
        <v>163</v>
      </c>
      <c r="G5" s="7" t="s">
        <v>152</v>
      </c>
      <c r="H5" s="5" t="s">
        <v>201</v>
      </c>
      <c r="I5" s="148">
        <f>SUM(J8:J56)</f>
        <v>99812.93040000004</v>
      </c>
      <c r="J5" s="149"/>
    </row>
    <row r="6" spans="1:10" ht="12.75">
      <c r="A6" s="114"/>
      <c r="I6" s="17"/>
      <c r="J6" s="12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127" t="s">
        <v>20</v>
      </c>
      <c r="B8" s="9">
        <f>209+5</f>
        <v>214</v>
      </c>
      <c r="C8" s="7">
        <f>B8/14435</f>
        <v>0.01482507793557326</v>
      </c>
      <c r="D8" s="9">
        <v>75</v>
      </c>
      <c r="E8" s="7">
        <f>D8/4594</f>
        <v>0.016325642141924248</v>
      </c>
      <c r="F8" s="9">
        <v>683</v>
      </c>
      <c r="G8" s="7">
        <f>F8/29332</f>
        <v>0.023285149324969317</v>
      </c>
      <c r="H8" s="5">
        <f aca="true" t="shared" si="0" ref="H8:H56">+(C8+E8+G8)/3</f>
        <v>0.018145289800822275</v>
      </c>
      <c r="I8" s="10">
        <f>H8/$H$57</f>
        <v>0.12450750798007434</v>
      </c>
      <c r="J8" s="109">
        <f>I8*$J$57</f>
        <v>12427.459228292606</v>
      </c>
    </row>
    <row r="9" spans="1:10" ht="12.75" outlineLevel="1">
      <c r="A9" s="127" t="s">
        <v>214</v>
      </c>
      <c r="B9" s="9">
        <f>13+4</f>
        <v>17</v>
      </c>
      <c r="C9" s="7">
        <f aca="true" t="shared" si="1" ref="C9:C56">B9/14435</f>
        <v>0.0011776931070315206</v>
      </c>
      <c r="D9" s="9"/>
      <c r="E9" s="7">
        <f aca="true" t="shared" si="2" ref="E9:E56">D9/4594</f>
        <v>0</v>
      </c>
      <c r="F9" s="9">
        <v>92</v>
      </c>
      <c r="G9" s="7">
        <f>F9/29332</f>
        <v>0.003136506204827492</v>
      </c>
      <c r="H9" s="5">
        <f t="shared" si="0"/>
        <v>0.0014380664372863376</v>
      </c>
      <c r="I9" s="10">
        <f aca="true" t="shared" si="3" ref="I9:I56">H9/$H$57</f>
        <v>0.009867578329236267</v>
      </c>
      <c r="J9" s="109">
        <f aca="true" t="shared" si="4" ref="J9:J56">I9*$J$57</f>
        <v>984.9119089926079</v>
      </c>
    </row>
    <row r="10" spans="1:10" ht="12.75" outlineLevel="1">
      <c r="A10" s="127" t="s">
        <v>179</v>
      </c>
      <c r="B10" s="9"/>
      <c r="C10" s="7">
        <f t="shared" si="1"/>
        <v>0</v>
      </c>
      <c r="D10" s="9">
        <v>2</v>
      </c>
      <c r="E10" s="7">
        <f t="shared" si="2"/>
        <v>0.00043535045711797995</v>
      </c>
      <c r="F10" s="9">
        <v>114</v>
      </c>
      <c r="G10" s="7">
        <f aca="true" t="shared" si="5" ref="G10:G56">F10/29332</f>
        <v>0.0038865402972862403</v>
      </c>
      <c r="H10" s="5">
        <f t="shared" si="0"/>
        <v>0.0014406302514680736</v>
      </c>
      <c r="I10" s="10">
        <f t="shared" si="3"/>
        <v>0.009885170449185625</v>
      </c>
      <c r="J10" s="109">
        <f t="shared" si="4"/>
        <v>986.6678300367016</v>
      </c>
    </row>
    <row r="11" spans="1:10" ht="12.75" outlineLevel="1">
      <c r="A11" s="127" t="s">
        <v>10</v>
      </c>
      <c r="B11" s="9">
        <f>125+2</f>
        <v>127</v>
      </c>
      <c r="C11" s="7">
        <f t="shared" si="1"/>
        <v>0.008798060270176654</v>
      </c>
      <c r="D11" s="9"/>
      <c r="E11" s="7">
        <f t="shared" si="2"/>
        <v>0</v>
      </c>
      <c r="F11" s="9"/>
      <c r="G11" s="7">
        <f t="shared" si="5"/>
        <v>0</v>
      </c>
      <c r="H11" s="5">
        <f t="shared" si="0"/>
        <v>0.002932686756725551</v>
      </c>
      <c r="I11" s="10">
        <f t="shared" si="3"/>
        <v>0.020123212347345265</v>
      </c>
      <c r="J11" s="109">
        <f t="shared" si="4"/>
        <v>2008.5567934499938</v>
      </c>
    </row>
    <row r="12" spans="1:10" ht="12.75" outlineLevel="1">
      <c r="A12" s="127" t="s">
        <v>173</v>
      </c>
      <c r="B12" s="9"/>
      <c r="C12" s="7">
        <f t="shared" si="1"/>
        <v>0</v>
      </c>
      <c r="D12" s="9">
        <v>2</v>
      </c>
      <c r="E12" s="7">
        <f t="shared" si="2"/>
        <v>0.00043535045711797995</v>
      </c>
      <c r="F12" s="9">
        <v>43</v>
      </c>
      <c r="G12" s="7">
        <f t="shared" si="5"/>
        <v>0.0014659757261693714</v>
      </c>
      <c r="H12" s="5">
        <f t="shared" si="0"/>
        <v>0.0006337753944291171</v>
      </c>
      <c r="I12" s="10">
        <f t="shared" si="3"/>
        <v>0.0043487756792885265</v>
      </c>
      <c r="J12" s="109">
        <f t="shared" si="4"/>
        <v>434.0640442020385</v>
      </c>
    </row>
    <row r="13" spans="1:10" ht="12.75" outlineLevel="1">
      <c r="A13" s="127" t="s">
        <v>31</v>
      </c>
      <c r="B13" s="9">
        <f>2+1</f>
        <v>3</v>
      </c>
      <c r="C13" s="7">
        <f t="shared" si="1"/>
        <v>0.00020782819535850364</v>
      </c>
      <c r="D13" s="9"/>
      <c r="E13" s="7">
        <f t="shared" si="2"/>
        <v>0</v>
      </c>
      <c r="F13" s="9">
        <f>188</f>
        <v>188</v>
      </c>
      <c r="G13" s="7">
        <f t="shared" si="5"/>
        <v>0.006409382244647484</v>
      </c>
      <c r="H13" s="5">
        <f t="shared" si="0"/>
        <v>0.002205736813335329</v>
      </c>
      <c r="I13" s="10">
        <f t="shared" si="3"/>
        <v>0.015135101004330447</v>
      </c>
      <c r="J13" s="109">
        <f t="shared" si="4"/>
        <v>1510.6787831422052</v>
      </c>
    </row>
    <row r="14" spans="1:10" ht="12.75" outlineLevel="1">
      <c r="A14" s="127" t="s">
        <v>30</v>
      </c>
      <c r="B14" s="9">
        <f>24+4</f>
        <v>28</v>
      </c>
      <c r="C14" s="7">
        <f t="shared" si="1"/>
        <v>0.001939729823346034</v>
      </c>
      <c r="D14" s="9">
        <f>2+1+2+6+15</f>
        <v>26</v>
      </c>
      <c r="E14" s="7">
        <f t="shared" si="2"/>
        <v>0.0056595559425337396</v>
      </c>
      <c r="F14" s="9">
        <f>218+206</f>
        <v>424</v>
      </c>
      <c r="G14" s="7">
        <f t="shared" si="5"/>
        <v>0.014455202509204963</v>
      </c>
      <c r="H14" s="5">
        <f t="shared" si="0"/>
        <v>0.007351496091694912</v>
      </c>
      <c r="I14" s="10">
        <f t="shared" si="3"/>
        <v>0.05044374977470522</v>
      </c>
      <c r="J14" s="109">
        <f t="shared" si="4"/>
        <v>5034.938485377668</v>
      </c>
    </row>
    <row r="15" spans="1:10" ht="12.75" outlineLevel="1">
      <c r="A15" s="127" t="s">
        <v>32</v>
      </c>
      <c r="B15" s="9">
        <f>4+3</f>
        <v>7</v>
      </c>
      <c r="C15" s="7">
        <f t="shared" si="1"/>
        <v>0.0004849324558365085</v>
      </c>
      <c r="D15" s="9">
        <f>2+3</f>
        <v>5</v>
      </c>
      <c r="E15" s="7">
        <f t="shared" si="2"/>
        <v>0.00108837614279495</v>
      </c>
      <c r="F15" s="9">
        <v>77</v>
      </c>
      <c r="G15" s="7">
        <f t="shared" si="5"/>
        <v>0.0026251193236056184</v>
      </c>
      <c r="H15" s="5">
        <f t="shared" si="0"/>
        <v>0.0013994759740790256</v>
      </c>
      <c r="I15" s="10">
        <f t="shared" si="3"/>
        <v>0.009602782205367174</v>
      </c>
      <c r="J15" s="109">
        <f t="shared" si="4"/>
        <v>958.4818319106723</v>
      </c>
    </row>
    <row r="16" spans="1:10" ht="12.75" outlineLevel="1">
      <c r="A16" s="127" t="s">
        <v>128</v>
      </c>
      <c r="B16" s="9">
        <f>1+1</f>
        <v>2</v>
      </c>
      <c r="C16" s="7">
        <f t="shared" si="1"/>
        <v>0.00013855213023900243</v>
      </c>
      <c r="D16" s="9">
        <f>8+7+1+1</f>
        <v>17</v>
      </c>
      <c r="E16" s="7">
        <f t="shared" si="2"/>
        <v>0.0037004788855028296</v>
      </c>
      <c r="F16" s="9">
        <v>194</v>
      </c>
      <c r="G16" s="7">
        <f t="shared" si="5"/>
        <v>0.006613936997136234</v>
      </c>
      <c r="H16" s="5">
        <f t="shared" si="0"/>
        <v>0.0034843226709593556</v>
      </c>
      <c r="I16" s="10">
        <f t="shared" si="3"/>
        <v>0.023908371677809556</v>
      </c>
      <c r="J16" s="109">
        <f t="shared" si="4"/>
        <v>2386.3646382545367</v>
      </c>
    </row>
    <row r="17" spans="1:10" ht="12.75" outlineLevel="1">
      <c r="A17" s="127" t="s">
        <v>127</v>
      </c>
      <c r="B17" s="9">
        <f>3+3</f>
        <v>6</v>
      </c>
      <c r="C17" s="7">
        <f t="shared" si="1"/>
        <v>0.0004156563907170073</v>
      </c>
      <c r="D17" s="9">
        <f>1+3</f>
        <v>4</v>
      </c>
      <c r="E17" s="7">
        <f t="shared" si="2"/>
        <v>0.0008707009142359599</v>
      </c>
      <c r="F17" s="9">
        <v>82</v>
      </c>
      <c r="G17" s="7">
        <f t="shared" si="5"/>
        <v>0.002795581617346243</v>
      </c>
      <c r="H17" s="5">
        <f t="shared" si="0"/>
        <v>0.0013606463074330697</v>
      </c>
      <c r="I17" s="10">
        <f t="shared" si="3"/>
        <v>0.009336344739619676</v>
      </c>
      <c r="J17" s="109">
        <f t="shared" si="4"/>
        <v>931.8879276860649</v>
      </c>
    </row>
    <row r="18" spans="1:10" ht="12.75" outlineLevel="1">
      <c r="A18" s="127" t="s">
        <v>209</v>
      </c>
      <c r="B18" s="21"/>
      <c r="C18" s="7">
        <f t="shared" si="1"/>
        <v>0</v>
      </c>
      <c r="D18" s="21"/>
      <c r="E18" s="7">
        <f t="shared" si="2"/>
        <v>0</v>
      </c>
      <c r="F18" s="9">
        <v>4</v>
      </c>
      <c r="G18" s="7">
        <f t="shared" si="5"/>
        <v>0.00013636983499249966</v>
      </c>
      <c r="H18" s="5">
        <f t="shared" si="0"/>
        <v>4.5456611664166555E-05</v>
      </c>
      <c r="I18" s="10">
        <f t="shared" si="3"/>
        <v>0.000311909564501245</v>
      </c>
      <c r="J18" s="109">
        <f t="shared" si="4"/>
        <v>31.13260765265708</v>
      </c>
    </row>
    <row r="19" spans="1:10" ht="12.75" outlineLevel="1">
      <c r="A19" s="127" t="s">
        <v>281</v>
      </c>
      <c r="B19" s="9">
        <f>2+2</f>
        <v>4</v>
      </c>
      <c r="C19" s="7">
        <f t="shared" si="1"/>
        <v>0.00027710426047800486</v>
      </c>
      <c r="D19" s="9"/>
      <c r="E19" s="7">
        <f t="shared" si="2"/>
        <v>0</v>
      </c>
      <c r="F19" s="9">
        <v>13</v>
      </c>
      <c r="G19" s="7">
        <f t="shared" si="5"/>
        <v>0.0004432019637256239</v>
      </c>
      <c r="H19" s="5">
        <f t="shared" si="0"/>
        <v>0.00024010207473454292</v>
      </c>
      <c r="I19" s="10">
        <f t="shared" si="3"/>
        <v>0.00164750804832496</v>
      </c>
      <c r="J19" s="109">
        <f t="shared" si="4"/>
        <v>164.4426061608991</v>
      </c>
    </row>
    <row r="20" spans="1:10" ht="12.75" outlineLevel="1">
      <c r="A20" s="127" t="s">
        <v>232</v>
      </c>
      <c r="B20" s="9"/>
      <c r="C20" s="7">
        <f t="shared" si="1"/>
        <v>0</v>
      </c>
      <c r="D20" s="9"/>
      <c r="E20" s="7">
        <f t="shared" si="2"/>
        <v>0</v>
      </c>
      <c r="F20" s="9">
        <v>2</v>
      </c>
      <c r="G20" s="7">
        <f t="shared" si="5"/>
        <v>6.818491749624983E-05</v>
      </c>
      <c r="H20" s="5">
        <f t="shared" si="0"/>
        <v>2.2728305832083277E-05</v>
      </c>
      <c r="I20" s="10">
        <f t="shared" si="3"/>
        <v>0.0001559547822506225</v>
      </c>
      <c r="J20" s="109">
        <f t="shared" si="4"/>
        <v>15.56630382632854</v>
      </c>
    </row>
    <row r="21" spans="1:10" ht="12.75" outlineLevel="1">
      <c r="A21" s="127" t="s">
        <v>210</v>
      </c>
      <c r="B21" s="9">
        <f>432+3</f>
        <v>435</v>
      </c>
      <c r="C21" s="7">
        <f t="shared" si="1"/>
        <v>0.03013508832698303</v>
      </c>
      <c r="D21" s="9">
        <f>2+18+44+111+2+2+2+11</f>
        <v>192</v>
      </c>
      <c r="E21" s="7">
        <f t="shared" si="2"/>
        <v>0.04179364388332608</v>
      </c>
      <c r="F21" s="9">
        <v>814</v>
      </c>
      <c r="G21" s="7">
        <f t="shared" si="5"/>
        <v>0.027751261420973682</v>
      </c>
      <c r="H21" s="5">
        <f t="shared" si="0"/>
        <v>0.03322666454376093</v>
      </c>
      <c r="I21" s="10">
        <f t="shared" si="3"/>
        <v>0.22799135457434774</v>
      </c>
      <c r="J21" s="109">
        <f t="shared" si="4"/>
        <v>22756.485205931094</v>
      </c>
    </row>
    <row r="22" spans="1:10" ht="12.75" outlineLevel="1">
      <c r="A22" s="127" t="s">
        <v>235</v>
      </c>
      <c r="B22" s="9"/>
      <c r="C22" s="7">
        <f t="shared" si="1"/>
        <v>0</v>
      </c>
      <c r="D22" s="9">
        <v>11</v>
      </c>
      <c r="E22" s="7">
        <f t="shared" si="2"/>
        <v>0.00239442751414889</v>
      </c>
      <c r="F22" s="9">
        <v>94</v>
      </c>
      <c r="G22" s="7">
        <f t="shared" si="5"/>
        <v>0.003204691122323742</v>
      </c>
      <c r="H22" s="5">
        <f t="shared" si="0"/>
        <v>0.0018663728788242105</v>
      </c>
      <c r="I22" s="10">
        <f t="shared" si="3"/>
        <v>0.012806488000730044</v>
      </c>
      <c r="J22" s="109">
        <f t="shared" si="4"/>
        <v>1278.2530954853032</v>
      </c>
    </row>
    <row r="23" spans="1:10" ht="12.75" outlineLevel="1">
      <c r="A23" s="127" t="s">
        <v>242</v>
      </c>
      <c r="B23" s="9">
        <f>10+6</f>
        <v>16</v>
      </c>
      <c r="C23" s="7">
        <f t="shared" si="1"/>
        <v>0.0011084170419120194</v>
      </c>
      <c r="D23" s="9">
        <f>7+8+1</f>
        <v>16</v>
      </c>
      <c r="E23" s="7">
        <f t="shared" si="2"/>
        <v>0.0034828036569438396</v>
      </c>
      <c r="F23" s="9">
        <v>78</v>
      </c>
      <c r="G23" s="7">
        <f t="shared" si="5"/>
        <v>0.0026592117823537433</v>
      </c>
      <c r="H23" s="5">
        <f t="shared" si="0"/>
        <v>0.002416810827069867</v>
      </c>
      <c r="I23" s="10">
        <f t="shared" si="3"/>
        <v>0.016583427249759076</v>
      </c>
      <c r="J23" s="109">
        <f t="shared" si="4"/>
        <v>1655.2404698736661</v>
      </c>
    </row>
    <row r="24" spans="1:10" ht="12.75" outlineLevel="1">
      <c r="A24" s="127" t="s">
        <v>238</v>
      </c>
      <c r="B24" s="9"/>
      <c r="C24" s="7">
        <f t="shared" si="1"/>
        <v>0</v>
      </c>
      <c r="D24" s="9"/>
      <c r="E24" s="7">
        <f t="shared" si="2"/>
        <v>0</v>
      </c>
      <c r="F24" s="9">
        <v>14</v>
      </c>
      <c r="G24" s="7">
        <f t="shared" si="5"/>
        <v>0.0004772944224737488</v>
      </c>
      <c r="H24" s="5">
        <f t="shared" si="0"/>
        <v>0.00015909814082458294</v>
      </c>
      <c r="I24" s="10">
        <f t="shared" si="3"/>
        <v>0.0010916834757543573</v>
      </c>
      <c r="J24" s="109">
        <f t="shared" si="4"/>
        <v>108.96412678429976</v>
      </c>
    </row>
    <row r="25" spans="1:10" ht="12.75" outlineLevel="1">
      <c r="A25" s="127" t="s">
        <v>230</v>
      </c>
      <c r="B25" s="9"/>
      <c r="C25" s="7">
        <f t="shared" si="1"/>
        <v>0</v>
      </c>
      <c r="D25" s="9">
        <f>1+1+8+1</f>
        <v>11</v>
      </c>
      <c r="E25" s="7">
        <f t="shared" si="2"/>
        <v>0.00239442751414889</v>
      </c>
      <c r="F25" s="9">
        <v>98</v>
      </c>
      <c r="G25" s="7">
        <f t="shared" si="5"/>
        <v>0.0033410609573162418</v>
      </c>
      <c r="H25" s="5">
        <f t="shared" si="0"/>
        <v>0.001911829490488377</v>
      </c>
      <c r="I25" s="10">
        <f t="shared" si="3"/>
        <v>0.013118397565231288</v>
      </c>
      <c r="J25" s="109">
        <f t="shared" si="4"/>
        <v>1309.38570313796</v>
      </c>
    </row>
    <row r="26" spans="1:10" ht="12.75" outlineLevel="1">
      <c r="A26" s="127" t="s">
        <v>233</v>
      </c>
      <c r="B26" s="9"/>
      <c r="C26" s="7">
        <f t="shared" si="1"/>
        <v>0</v>
      </c>
      <c r="D26" s="9">
        <f>1+1+1+5</f>
        <v>8</v>
      </c>
      <c r="E26" s="7">
        <f t="shared" si="2"/>
        <v>0.0017414018284719198</v>
      </c>
      <c r="F26" s="9">
        <v>22</v>
      </c>
      <c r="G26" s="7">
        <f t="shared" si="5"/>
        <v>0.0007500340924587481</v>
      </c>
      <c r="H26" s="5">
        <f t="shared" si="0"/>
        <v>0.0008304786403102226</v>
      </c>
      <c r="I26" s="10">
        <f t="shared" si="3"/>
        <v>0.005698494048357421</v>
      </c>
      <c r="J26" s="109">
        <f t="shared" si="4"/>
        <v>568.7833898335135</v>
      </c>
    </row>
    <row r="27" spans="1:10" ht="12.75" outlineLevel="1">
      <c r="A27" s="127" t="s">
        <v>234</v>
      </c>
      <c r="B27" s="9">
        <v>2</v>
      </c>
      <c r="C27" s="7">
        <f t="shared" si="1"/>
        <v>0.00013855213023900243</v>
      </c>
      <c r="D27" s="9"/>
      <c r="E27" s="7">
        <f t="shared" si="2"/>
        <v>0</v>
      </c>
      <c r="F27" s="9">
        <v>21</v>
      </c>
      <c r="G27" s="7">
        <f t="shared" si="5"/>
        <v>0.0007159416337106233</v>
      </c>
      <c r="H27" s="5">
        <f t="shared" si="0"/>
        <v>0.0002848312546498752</v>
      </c>
      <c r="I27" s="10">
        <f t="shared" si="3"/>
        <v>0.001954426195479493</v>
      </c>
      <c r="J27" s="109">
        <f t="shared" si="4"/>
        <v>195.07700582133143</v>
      </c>
    </row>
    <row r="28" spans="1:10" ht="12.75" outlineLevel="1">
      <c r="A28" s="92" t="s">
        <v>254</v>
      </c>
      <c r="B28" s="9"/>
      <c r="C28" s="7">
        <f t="shared" si="1"/>
        <v>0</v>
      </c>
      <c r="D28" s="9"/>
      <c r="E28" s="7">
        <f t="shared" si="2"/>
        <v>0</v>
      </c>
      <c r="F28" s="9">
        <v>8</v>
      </c>
      <c r="G28" s="7">
        <f t="shared" si="5"/>
        <v>0.0002727396699849993</v>
      </c>
      <c r="H28" s="5">
        <f t="shared" si="0"/>
        <v>9.091322332833311E-05</v>
      </c>
      <c r="I28" s="10">
        <f t="shared" si="3"/>
        <v>0.00062381912900249</v>
      </c>
      <c r="J28" s="109">
        <f t="shared" si="4"/>
        <v>62.26521530531416</v>
      </c>
    </row>
    <row r="29" spans="1:10" ht="12.75" outlineLevel="1">
      <c r="A29" s="92" t="s">
        <v>266</v>
      </c>
      <c r="B29" s="9">
        <f>11+154</f>
        <v>165</v>
      </c>
      <c r="C29" s="7">
        <f t="shared" si="1"/>
        <v>0.0114305507447177</v>
      </c>
      <c r="D29" s="9"/>
      <c r="E29" s="7">
        <f t="shared" si="2"/>
        <v>0</v>
      </c>
      <c r="F29" s="9"/>
      <c r="G29" s="7">
        <f t="shared" si="5"/>
        <v>0</v>
      </c>
      <c r="H29" s="5">
        <f t="shared" si="0"/>
        <v>0.0038101835815725666</v>
      </c>
      <c r="I29" s="10">
        <f t="shared" si="3"/>
        <v>0.026144331002456448</v>
      </c>
      <c r="J29" s="109">
        <f t="shared" si="4"/>
        <v>2609.542290702748</v>
      </c>
    </row>
    <row r="30" spans="1:10" ht="12.75" outlineLevel="1">
      <c r="A30" s="92" t="s">
        <v>42</v>
      </c>
      <c r="B30" s="9">
        <f>15+8</f>
        <v>23</v>
      </c>
      <c r="C30" s="7">
        <f t="shared" si="1"/>
        <v>0.001593349497748528</v>
      </c>
      <c r="D30" s="9">
        <v>27</v>
      </c>
      <c r="E30" s="7">
        <f t="shared" si="2"/>
        <v>0.0058772311710927295</v>
      </c>
      <c r="F30" s="9">
        <v>259</v>
      </c>
      <c r="G30" s="7">
        <f t="shared" si="5"/>
        <v>0.008829946815764354</v>
      </c>
      <c r="H30" s="5">
        <f t="shared" si="0"/>
        <v>0.005433509161535204</v>
      </c>
      <c r="I30" s="10">
        <f t="shared" si="3"/>
        <v>0.03728310171485905</v>
      </c>
      <c r="J30" s="109">
        <f t="shared" si="4"/>
        <v>3721.3356365613477</v>
      </c>
    </row>
    <row r="31" spans="1:10" ht="12.75" outlineLevel="1">
      <c r="A31" s="92" t="s">
        <v>41</v>
      </c>
      <c r="B31" s="9"/>
      <c r="C31" s="7">
        <f t="shared" si="1"/>
        <v>0</v>
      </c>
      <c r="D31" s="9"/>
      <c r="E31" s="7">
        <f t="shared" si="2"/>
        <v>0</v>
      </c>
      <c r="F31" s="9">
        <v>1</v>
      </c>
      <c r="G31" s="7">
        <f t="shared" si="5"/>
        <v>3.4092458748124914E-05</v>
      </c>
      <c r="H31" s="5">
        <f t="shared" si="0"/>
        <v>1.1364152916041639E-05</v>
      </c>
      <c r="I31" s="10">
        <f t="shared" si="3"/>
        <v>7.797739112531125E-05</v>
      </c>
      <c r="J31" s="109">
        <f t="shared" si="4"/>
        <v>7.78315191316427</v>
      </c>
    </row>
    <row r="32" spans="1:10" ht="12.75" outlineLevel="1">
      <c r="A32" s="92" t="s">
        <v>129</v>
      </c>
      <c r="B32" s="9"/>
      <c r="C32" s="7">
        <f t="shared" si="1"/>
        <v>0</v>
      </c>
      <c r="D32" s="9">
        <v>1</v>
      </c>
      <c r="E32" s="7">
        <f t="shared" si="2"/>
        <v>0.00021767522855898998</v>
      </c>
      <c r="F32" s="9">
        <v>198</v>
      </c>
      <c r="G32" s="7">
        <f t="shared" si="5"/>
        <v>0.006750306832128733</v>
      </c>
      <c r="H32" s="5">
        <f t="shared" si="0"/>
        <v>0.0023226606868959076</v>
      </c>
      <c r="I32" s="10">
        <f t="shared" si="3"/>
        <v>0.015937397373261695</v>
      </c>
      <c r="J32" s="109">
        <f t="shared" si="4"/>
        <v>1590.7583347745126</v>
      </c>
    </row>
    <row r="33" spans="1:10" ht="12.75" outlineLevel="1">
      <c r="A33" s="92" t="s">
        <v>208</v>
      </c>
      <c r="B33" s="9"/>
      <c r="C33" s="7">
        <f t="shared" si="1"/>
        <v>0</v>
      </c>
      <c r="D33" s="9">
        <f>1+2</f>
        <v>3</v>
      </c>
      <c r="E33" s="7">
        <f t="shared" si="2"/>
        <v>0.00065302568567697</v>
      </c>
      <c r="F33" s="9">
        <v>41</v>
      </c>
      <c r="G33" s="7">
        <f t="shared" si="5"/>
        <v>0.0013977908086731214</v>
      </c>
      <c r="H33" s="5">
        <f t="shared" si="0"/>
        <v>0.0006836054981166971</v>
      </c>
      <c r="I33" s="10">
        <f t="shared" si="3"/>
        <v>0.004690694827487975</v>
      </c>
      <c r="J33" s="109">
        <f t="shared" si="4"/>
        <v>468.1919963436973</v>
      </c>
    </row>
    <row r="34" spans="1:10" ht="12.75" outlineLevel="1">
      <c r="A34" s="92" t="s">
        <v>8</v>
      </c>
      <c r="B34" s="9">
        <f>24+106</f>
        <v>130</v>
      </c>
      <c r="C34" s="7">
        <f t="shared" si="1"/>
        <v>0.009005888465535157</v>
      </c>
      <c r="D34" s="9">
        <f>27+2+1+31+10+2+2+2+4</f>
        <v>81</v>
      </c>
      <c r="E34" s="7">
        <f t="shared" si="2"/>
        <v>0.017631693513278188</v>
      </c>
      <c r="F34" s="9">
        <v>410</v>
      </c>
      <c r="G34" s="7">
        <f t="shared" si="5"/>
        <v>0.013977908086731215</v>
      </c>
      <c r="H34" s="5">
        <f t="shared" si="0"/>
        <v>0.013538496688514853</v>
      </c>
      <c r="I34" s="10">
        <f t="shared" si="3"/>
        <v>0.09289708254795061</v>
      </c>
      <c r="J34" s="109">
        <f t="shared" si="4"/>
        <v>9272.33003472165</v>
      </c>
    </row>
    <row r="35" spans="1:10" ht="12.75" outlineLevel="1">
      <c r="A35" s="92" t="s">
        <v>83</v>
      </c>
      <c r="B35" s="9"/>
      <c r="C35" s="7">
        <f t="shared" si="1"/>
        <v>0</v>
      </c>
      <c r="D35" s="9"/>
      <c r="E35" s="7">
        <f t="shared" si="2"/>
        <v>0</v>
      </c>
      <c r="F35" s="9">
        <v>164</v>
      </c>
      <c r="G35" s="7">
        <f t="shared" si="5"/>
        <v>0.005591163234692486</v>
      </c>
      <c r="H35" s="5">
        <f t="shared" si="0"/>
        <v>0.0018637210782308285</v>
      </c>
      <c r="I35" s="10">
        <f t="shared" si="3"/>
        <v>0.012788292144551043</v>
      </c>
      <c r="J35" s="109">
        <f t="shared" si="4"/>
        <v>1276.4369137589401</v>
      </c>
    </row>
    <row r="36" spans="1:10" ht="12.75" outlineLevel="1">
      <c r="A36" s="92" t="s">
        <v>87</v>
      </c>
      <c r="B36" s="9">
        <f>15+12</f>
        <v>27</v>
      </c>
      <c r="C36" s="7">
        <f t="shared" si="1"/>
        <v>0.0018704537582265328</v>
      </c>
      <c r="D36" s="9">
        <f>4+11</f>
        <v>15</v>
      </c>
      <c r="E36" s="7">
        <f t="shared" si="2"/>
        <v>0.0032651284283848497</v>
      </c>
      <c r="F36" s="9">
        <v>235</v>
      </c>
      <c r="G36" s="7">
        <f t="shared" si="5"/>
        <v>0.008011727805809355</v>
      </c>
      <c r="H36" s="5">
        <f t="shared" si="0"/>
        <v>0.004382436664140245</v>
      </c>
      <c r="I36" s="10">
        <f t="shared" si="3"/>
        <v>0.030070959126146633</v>
      </c>
      <c r="J36" s="109">
        <f t="shared" si="4"/>
        <v>3001.470550319319</v>
      </c>
    </row>
    <row r="37" spans="1:10" ht="12.75" outlineLevel="1">
      <c r="A37" s="92" t="s">
        <v>90</v>
      </c>
      <c r="B37" s="9"/>
      <c r="C37" s="7">
        <f t="shared" si="1"/>
        <v>0</v>
      </c>
      <c r="D37" s="9">
        <v>26</v>
      </c>
      <c r="E37" s="7">
        <f t="shared" si="2"/>
        <v>0.0056595559425337396</v>
      </c>
      <c r="F37" s="9">
        <v>130</v>
      </c>
      <c r="G37" s="7">
        <f t="shared" si="5"/>
        <v>0.004432019637256239</v>
      </c>
      <c r="H37" s="5">
        <f t="shared" si="0"/>
        <v>0.0033638585265966595</v>
      </c>
      <c r="I37" s="10">
        <f t="shared" si="3"/>
        <v>0.023081783037992323</v>
      </c>
      <c r="J37" s="109">
        <f t="shared" si="4"/>
        <v>2303.8604038790286</v>
      </c>
    </row>
    <row r="38" spans="1:10" ht="12.75" outlineLevel="1">
      <c r="A38" s="92" t="s">
        <v>290</v>
      </c>
      <c r="B38" s="9"/>
      <c r="C38" s="7">
        <f t="shared" si="1"/>
        <v>0</v>
      </c>
      <c r="D38" s="9"/>
      <c r="E38" s="7">
        <f t="shared" si="2"/>
        <v>0</v>
      </c>
      <c r="F38" s="9">
        <v>91</v>
      </c>
      <c r="G38" s="7">
        <f t="shared" si="5"/>
        <v>0.003102413746079367</v>
      </c>
      <c r="H38" s="5">
        <f t="shared" si="0"/>
        <v>0.0010341379153597891</v>
      </c>
      <c r="I38" s="10">
        <f t="shared" si="3"/>
        <v>0.007095942592403323</v>
      </c>
      <c r="J38" s="109">
        <f t="shared" si="4"/>
        <v>708.2668240979485</v>
      </c>
    </row>
    <row r="39" spans="1:10" ht="12.75" outlineLevel="1">
      <c r="A39" s="92" t="s">
        <v>295</v>
      </c>
      <c r="B39" s="9"/>
      <c r="C39" s="7">
        <f t="shared" si="1"/>
        <v>0</v>
      </c>
      <c r="D39" s="9"/>
      <c r="E39" s="7">
        <f t="shared" si="2"/>
        <v>0</v>
      </c>
      <c r="F39" s="9">
        <v>10</v>
      </c>
      <c r="G39" s="7">
        <f t="shared" si="5"/>
        <v>0.00034092458748124913</v>
      </c>
      <c r="H39" s="5">
        <f t="shared" si="0"/>
        <v>0.00011364152916041638</v>
      </c>
      <c r="I39" s="10">
        <f t="shared" si="3"/>
        <v>0.0007797739112531123</v>
      </c>
      <c r="J39" s="109">
        <f t="shared" si="4"/>
        <v>77.8315191316427</v>
      </c>
    </row>
    <row r="40" spans="1:10" ht="12.75" outlineLevel="1">
      <c r="A40" s="92" t="s">
        <v>296</v>
      </c>
      <c r="B40" s="9">
        <v>1</v>
      </c>
      <c r="C40" s="7">
        <f t="shared" si="1"/>
        <v>6.927606511950121E-05</v>
      </c>
      <c r="D40" s="9"/>
      <c r="E40" s="7">
        <f t="shared" si="2"/>
        <v>0</v>
      </c>
      <c r="F40" s="9">
        <v>20</v>
      </c>
      <c r="G40" s="7">
        <f t="shared" si="5"/>
        <v>0.0006818491749624983</v>
      </c>
      <c r="H40" s="5">
        <f t="shared" si="0"/>
        <v>0.0002503750800273332</v>
      </c>
      <c r="I40" s="10">
        <f t="shared" si="3"/>
        <v>0.0017179983134302033</v>
      </c>
      <c r="J40" s="109">
        <f t="shared" si="4"/>
        <v>171.4784460857263</v>
      </c>
    </row>
    <row r="41" spans="1:10" ht="12.75" outlineLevel="1">
      <c r="A41" s="92" t="s">
        <v>291</v>
      </c>
      <c r="B41" s="9"/>
      <c r="C41" s="7">
        <f t="shared" si="1"/>
        <v>0</v>
      </c>
      <c r="D41" s="9"/>
      <c r="E41" s="7">
        <f t="shared" si="2"/>
        <v>0</v>
      </c>
      <c r="F41" s="9">
        <v>4</v>
      </c>
      <c r="G41" s="7">
        <f t="shared" si="5"/>
        <v>0.00013636983499249966</v>
      </c>
      <c r="H41" s="5">
        <f t="shared" si="0"/>
        <v>4.5456611664166555E-05</v>
      </c>
      <c r="I41" s="10">
        <f t="shared" si="3"/>
        <v>0.000311909564501245</v>
      </c>
      <c r="J41" s="109">
        <f t="shared" si="4"/>
        <v>31.13260765265708</v>
      </c>
    </row>
    <row r="42" spans="1:10" ht="12.75" outlineLevel="1">
      <c r="A42" s="92" t="s">
        <v>292</v>
      </c>
      <c r="B42" s="9"/>
      <c r="C42" s="7">
        <f t="shared" si="1"/>
        <v>0</v>
      </c>
      <c r="D42" s="9"/>
      <c r="E42" s="7">
        <f t="shared" si="2"/>
        <v>0</v>
      </c>
      <c r="F42" s="9">
        <v>16</v>
      </c>
      <c r="G42" s="7">
        <f t="shared" si="5"/>
        <v>0.0005454793399699986</v>
      </c>
      <c r="H42" s="5">
        <f t="shared" si="0"/>
        <v>0.00018182644665666622</v>
      </c>
      <c r="I42" s="10">
        <f t="shared" si="3"/>
        <v>0.00124763825800498</v>
      </c>
      <c r="J42" s="109">
        <f t="shared" si="4"/>
        <v>124.53043061062831</v>
      </c>
    </row>
    <row r="43" spans="1:10" ht="12.75" outlineLevel="1">
      <c r="A43" s="92" t="s">
        <v>293</v>
      </c>
      <c r="B43" s="9"/>
      <c r="C43" s="7">
        <f t="shared" si="1"/>
        <v>0</v>
      </c>
      <c r="D43" s="9"/>
      <c r="E43" s="7">
        <f t="shared" si="2"/>
        <v>0</v>
      </c>
      <c r="F43" s="9">
        <v>36</v>
      </c>
      <c r="G43" s="7">
        <f t="shared" si="5"/>
        <v>0.001227328514932497</v>
      </c>
      <c r="H43" s="5">
        <f t="shared" si="0"/>
        <v>0.000409109504977499</v>
      </c>
      <c r="I43" s="10">
        <f t="shared" si="3"/>
        <v>0.0028071860805112046</v>
      </c>
      <c r="J43" s="109">
        <f t="shared" si="4"/>
        <v>280.1934688739137</v>
      </c>
    </row>
    <row r="44" spans="1:10" ht="12.75" outlineLevel="1">
      <c r="A44" s="92" t="s">
        <v>294</v>
      </c>
      <c r="B44" s="9"/>
      <c r="C44" s="7">
        <f t="shared" si="1"/>
        <v>0</v>
      </c>
      <c r="D44" s="9"/>
      <c r="E44" s="7">
        <f t="shared" si="2"/>
        <v>0</v>
      </c>
      <c r="F44" s="9">
        <v>8</v>
      </c>
      <c r="G44" s="7">
        <f t="shared" si="5"/>
        <v>0.0002727396699849993</v>
      </c>
      <c r="H44" s="5">
        <f t="shared" si="0"/>
        <v>9.091322332833311E-05</v>
      </c>
      <c r="I44" s="10">
        <f t="shared" si="3"/>
        <v>0.00062381912900249</v>
      </c>
      <c r="J44" s="109">
        <f t="shared" si="4"/>
        <v>62.26521530531416</v>
      </c>
    </row>
    <row r="45" spans="1:10" ht="12.75" outlineLevel="1">
      <c r="A45" s="92" t="s">
        <v>297</v>
      </c>
      <c r="B45" s="9"/>
      <c r="C45" s="7">
        <f t="shared" si="1"/>
        <v>0</v>
      </c>
      <c r="D45" s="9">
        <f>5+5</f>
        <v>10</v>
      </c>
      <c r="E45" s="7">
        <f t="shared" si="2"/>
        <v>0.0021767522855899</v>
      </c>
      <c r="F45" s="9">
        <v>16</v>
      </c>
      <c r="G45" s="7">
        <f t="shared" si="5"/>
        <v>0.0005454793399699986</v>
      </c>
      <c r="H45" s="5">
        <f t="shared" si="0"/>
        <v>0.0009074105418532995</v>
      </c>
      <c r="I45" s="10">
        <f t="shared" si="3"/>
        <v>0.0062263775625056965</v>
      </c>
      <c r="J45" s="109">
        <f t="shared" si="4"/>
        <v>621.4729902905028</v>
      </c>
    </row>
    <row r="46" spans="1:10" ht="12.75" outlineLevel="1">
      <c r="A46" s="92" t="s">
        <v>298</v>
      </c>
      <c r="B46" s="9">
        <f>2+2</f>
        <v>4</v>
      </c>
      <c r="C46" s="7">
        <f t="shared" si="1"/>
        <v>0.00027710426047800486</v>
      </c>
      <c r="D46" s="9">
        <f>10</f>
        <v>10</v>
      </c>
      <c r="E46" s="7">
        <f t="shared" si="2"/>
        <v>0.0021767522855899</v>
      </c>
      <c r="F46" s="9">
        <v>115</v>
      </c>
      <c r="G46" s="7">
        <f t="shared" si="5"/>
        <v>0.003920632756034366</v>
      </c>
      <c r="H46" s="5">
        <f t="shared" si="0"/>
        <v>0.0021248297673674235</v>
      </c>
      <c r="I46" s="10">
        <f t="shared" si="3"/>
        <v>0.014579941247607423</v>
      </c>
      <c r="J46" s="109">
        <f t="shared" si="4"/>
        <v>1455.2666609835292</v>
      </c>
    </row>
    <row r="47" spans="1:10" ht="12.75" outlineLevel="1">
      <c r="A47" s="92" t="s">
        <v>299</v>
      </c>
      <c r="B47" s="9"/>
      <c r="C47" s="7">
        <f t="shared" si="1"/>
        <v>0</v>
      </c>
      <c r="D47" s="9">
        <f>6+1+1</f>
        <v>8</v>
      </c>
      <c r="E47" s="7">
        <f t="shared" si="2"/>
        <v>0.0017414018284719198</v>
      </c>
      <c r="F47" s="9">
        <v>55</v>
      </c>
      <c r="G47" s="7">
        <f t="shared" si="5"/>
        <v>0.0018750852311468704</v>
      </c>
      <c r="H47" s="5">
        <f t="shared" si="0"/>
        <v>0.0012054956865395967</v>
      </c>
      <c r="I47" s="10">
        <f t="shared" si="3"/>
        <v>0.008271747955492691</v>
      </c>
      <c r="J47" s="109">
        <f t="shared" si="4"/>
        <v>825.6274029679344</v>
      </c>
    </row>
    <row r="48" spans="1:10" ht="12.75" outlineLevel="1">
      <c r="A48" s="92" t="s">
        <v>300</v>
      </c>
      <c r="B48" s="9"/>
      <c r="C48" s="7">
        <f t="shared" si="1"/>
        <v>0</v>
      </c>
      <c r="D48" s="9">
        <f>1</f>
        <v>1</v>
      </c>
      <c r="E48" s="7">
        <f t="shared" si="2"/>
        <v>0.00021767522855898998</v>
      </c>
      <c r="F48" s="9">
        <f>28+12</f>
        <v>40</v>
      </c>
      <c r="G48" s="7">
        <f t="shared" si="5"/>
        <v>0.0013636983499249965</v>
      </c>
      <c r="H48" s="5">
        <f t="shared" si="0"/>
        <v>0.0005271245261613288</v>
      </c>
      <c r="I48" s="10">
        <f t="shared" si="3"/>
        <v>0.0036169695754625208</v>
      </c>
      <c r="J48" s="109">
        <f t="shared" si="4"/>
        <v>361.0203324945582</v>
      </c>
    </row>
    <row r="49" spans="1:10" ht="12.75" outlineLevel="1">
      <c r="A49" s="92" t="s">
        <v>301</v>
      </c>
      <c r="B49" s="9"/>
      <c r="C49" s="7">
        <f t="shared" si="1"/>
        <v>0</v>
      </c>
      <c r="D49" s="9">
        <v>1</v>
      </c>
      <c r="E49" s="7">
        <f t="shared" si="2"/>
        <v>0.00021767522855898998</v>
      </c>
      <c r="F49" s="9">
        <v>18</v>
      </c>
      <c r="G49" s="7">
        <f t="shared" si="5"/>
        <v>0.0006136642574662485</v>
      </c>
      <c r="H49" s="5">
        <f t="shared" si="0"/>
        <v>0.0002771131620084128</v>
      </c>
      <c r="I49" s="10">
        <f t="shared" si="3"/>
        <v>0.001901466970705674</v>
      </c>
      <c r="J49" s="109">
        <f t="shared" si="4"/>
        <v>189.7909904049443</v>
      </c>
    </row>
    <row r="50" spans="1:10" ht="12.75" outlineLevel="1">
      <c r="A50" s="92" t="s">
        <v>302</v>
      </c>
      <c r="B50" s="9"/>
      <c r="C50" s="7">
        <f t="shared" si="1"/>
        <v>0</v>
      </c>
      <c r="D50" s="9">
        <f>1+1+1+1+1+1+1+1+1+1+1</f>
        <v>11</v>
      </c>
      <c r="E50" s="7">
        <f t="shared" si="2"/>
        <v>0.00239442751414889</v>
      </c>
      <c r="F50" s="9">
        <v>71</v>
      </c>
      <c r="G50" s="7">
        <f t="shared" si="5"/>
        <v>0.002420564571116869</v>
      </c>
      <c r="H50" s="5">
        <f t="shared" si="0"/>
        <v>0.0016049973617552529</v>
      </c>
      <c r="I50" s="10">
        <f t="shared" si="3"/>
        <v>0.011013008004847885</v>
      </c>
      <c r="J50" s="109">
        <f t="shared" si="4"/>
        <v>1099.2406014825249</v>
      </c>
    </row>
    <row r="51" spans="1:10" ht="12.75" outlineLevel="1">
      <c r="A51" s="92" t="s">
        <v>203</v>
      </c>
      <c r="B51" s="9"/>
      <c r="C51" s="7">
        <f t="shared" si="1"/>
        <v>0</v>
      </c>
      <c r="D51" s="9"/>
      <c r="E51" s="7">
        <f t="shared" si="2"/>
        <v>0</v>
      </c>
      <c r="F51" s="9">
        <v>3</v>
      </c>
      <c r="G51" s="7">
        <f t="shared" si="5"/>
        <v>0.00010227737624437475</v>
      </c>
      <c r="H51" s="5">
        <f t="shared" si="0"/>
        <v>3.4092458748124914E-05</v>
      </c>
      <c r="I51" s="10">
        <f t="shared" si="3"/>
        <v>0.0002339321733759337</v>
      </c>
      <c r="J51" s="109">
        <f t="shared" si="4"/>
        <v>23.349455739492807</v>
      </c>
    </row>
    <row r="52" spans="1:10" ht="14.25" customHeight="1" outlineLevel="1">
      <c r="A52" s="92" t="s">
        <v>94</v>
      </c>
      <c r="B52" s="9">
        <f>19+7</f>
        <v>26</v>
      </c>
      <c r="C52" s="7">
        <f t="shared" si="1"/>
        <v>0.0018011776931070316</v>
      </c>
      <c r="D52" s="9">
        <f>5+8+10</f>
        <v>23</v>
      </c>
      <c r="E52" s="7">
        <f t="shared" si="2"/>
        <v>0.00500653025685677</v>
      </c>
      <c r="F52" s="9">
        <v>70</v>
      </c>
      <c r="G52" s="7">
        <f t="shared" si="5"/>
        <v>0.0023864721123687442</v>
      </c>
      <c r="H52" s="5">
        <f t="shared" si="0"/>
        <v>0.0030647266874441817</v>
      </c>
      <c r="I52" s="10">
        <f t="shared" si="3"/>
        <v>0.021029230543146874</v>
      </c>
      <c r="J52" s="109">
        <f t="shared" si="4"/>
        <v>2098.9891245686736</v>
      </c>
    </row>
    <row r="53" spans="1:10" ht="14.25" customHeight="1" outlineLevel="1">
      <c r="A53" s="92" t="s">
        <v>101</v>
      </c>
      <c r="B53" s="9">
        <f>75+2</f>
        <v>77</v>
      </c>
      <c r="C53" s="7">
        <f t="shared" si="1"/>
        <v>0.005334257014201593</v>
      </c>
      <c r="D53" s="9">
        <f>46+3+22+1+1+2+1+1+2+5+1+1+19+1</f>
        <v>106</v>
      </c>
      <c r="E53" s="7">
        <f t="shared" si="2"/>
        <v>0.023073574227252938</v>
      </c>
      <c r="F53" s="9">
        <v>346</v>
      </c>
      <c r="G53" s="7">
        <f t="shared" si="5"/>
        <v>0.01179599072685122</v>
      </c>
      <c r="H53" s="5">
        <f t="shared" si="0"/>
        <v>0.013401273989435252</v>
      </c>
      <c r="I53" s="10">
        <f t="shared" si="3"/>
        <v>0.09195550175821164</v>
      </c>
      <c r="J53" s="109">
        <f t="shared" si="4"/>
        <v>9178.348096889456</v>
      </c>
    </row>
    <row r="54" spans="1:10" ht="14.25" customHeight="1" outlineLevel="1">
      <c r="A54" s="92" t="s">
        <v>103</v>
      </c>
      <c r="B54" s="9"/>
      <c r="C54" s="7">
        <f t="shared" si="1"/>
        <v>0</v>
      </c>
      <c r="D54" s="9"/>
      <c r="E54" s="7">
        <f t="shared" si="2"/>
        <v>0</v>
      </c>
      <c r="F54" s="9">
        <v>4</v>
      </c>
      <c r="G54" s="7">
        <f t="shared" si="5"/>
        <v>0.00013636983499249966</v>
      </c>
      <c r="H54" s="5">
        <f t="shared" si="0"/>
        <v>4.5456611664166555E-05</v>
      </c>
      <c r="I54" s="10">
        <f t="shared" si="3"/>
        <v>0.000311909564501245</v>
      </c>
      <c r="J54" s="109">
        <f t="shared" si="4"/>
        <v>31.13260765265708</v>
      </c>
    </row>
    <row r="55" spans="1:10" ht="14.25" customHeight="1" outlineLevel="1">
      <c r="A55" s="92" t="s">
        <v>115</v>
      </c>
      <c r="B55" s="9">
        <f>19+3</f>
        <v>22</v>
      </c>
      <c r="C55" s="7">
        <f t="shared" si="1"/>
        <v>0.0015240734326290267</v>
      </c>
      <c r="D55" s="9">
        <v>3</v>
      </c>
      <c r="E55" s="7">
        <f t="shared" si="2"/>
        <v>0.00065302568567697</v>
      </c>
      <c r="F55" s="9">
        <v>206</v>
      </c>
      <c r="G55" s="7">
        <f t="shared" si="5"/>
        <v>0.007023046502113732</v>
      </c>
      <c r="H55" s="5">
        <f t="shared" si="0"/>
        <v>0.0030667152068065764</v>
      </c>
      <c r="I55" s="10">
        <f t="shared" si="3"/>
        <v>0.021042875163491858</v>
      </c>
      <c r="J55" s="109">
        <f t="shared" si="4"/>
        <v>2100.3510341095016</v>
      </c>
    </row>
    <row r="56" spans="1:10" ht="14.25" customHeight="1" outlineLevel="1" thickBot="1">
      <c r="A56" s="92" t="s">
        <v>114</v>
      </c>
      <c r="B56" s="9"/>
      <c r="C56" s="7">
        <f t="shared" si="1"/>
        <v>0</v>
      </c>
      <c r="D56" s="9"/>
      <c r="E56" s="7">
        <f t="shared" si="2"/>
        <v>0</v>
      </c>
      <c r="F56" s="9">
        <v>40</v>
      </c>
      <c r="G56" s="7">
        <f t="shared" si="5"/>
        <v>0.0013636983499249965</v>
      </c>
      <c r="H56" s="5">
        <f t="shared" si="0"/>
        <v>0.0004545661166416655</v>
      </c>
      <c r="I56" s="10">
        <f t="shared" si="3"/>
        <v>0.0031190956450124494</v>
      </c>
      <c r="J56" s="109">
        <f t="shared" si="4"/>
        <v>311.3260765265708</v>
      </c>
    </row>
    <row r="57" spans="1:10" ht="12" customHeight="1" thickBot="1">
      <c r="A57" s="125" t="s">
        <v>194</v>
      </c>
      <c r="B57" s="122">
        <f aca="true" t="shared" si="6" ref="B57:I57">SUM(B8:B56)</f>
        <v>1336</v>
      </c>
      <c r="C57" s="126">
        <f t="shared" si="6"/>
        <v>0.09255282299965362</v>
      </c>
      <c r="D57" s="122">
        <f t="shared" si="6"/>
        <v>695</v>
      </c>
      <c r="E57" s="126">
        <f t="shared" si="6"/>
        <v>0.1512842838484981</v>
      </c>
      <c r="F57" s="122">
        <f t="shared" si="6"/>
        <v>5672</v>
      </c>
      <c r="G57" s="126">
        <f t="shared" si="6"/>
        <v>0.19337242601936458</v>
      </c>
      <c r="H57" s="121">
        <f t="shared" si="6"/>
        <v>0.14573651095583867</v>
      </c>
      <c r="I57" s="119">
        <f t="shared" si="6"/>
        <v>1.0000000000000004</v>
      </c>
      <c r="J57" s="120">
        <f>'FY09-FY08 Comparison'!K13</f>
        <v>99812.93040000001</v>
      </c>
    </row>
    <row r="58" ht="12.75">
      <c r="A58" s="4"/>
    </row>
    <row r="59" ht="12.75">
      <c r="A59" s="4"/>
    </row>
    <row r="60" ht="12.75">
      <c r="A60" s="4"/>
    </row>
  </sheetData>
  <mergeCells count="4">
    <mergeCell ref="I1:J2"/>
    <mergeCell ref="I3:J3"/>
    <mergeCell ref="I4:J4"/>
    <mergeCell ref="I5:J5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40.8515625" style="0" bestFit="1" customWidth="1"/>
    <col min="2" max="8" width="9.140625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320</v>
      </c>
      <c r="J4" s="157"/>
    </row>
    <row r="5" spans="1:10" ht="13.5" thickBot="1">
      <c r="A5" s="94" t="s">
        <v>14</v>
      </c>
      <c r="B5" s="101" t="s">
        <v>3</v>
      </c>
      <c r="C5" s="102" t="s">
        <v>152</v>
      </c>
      <c r="D5" s="101" t="s">
        <v>118</v>
      </c>
      <c r="E5" s="102" t="s">
        <v>152</v>
      </c>
      <c r="F5" s="101" t="s">
        <v>163</v>
      </c>
      <c r="G5" s="102" t="s">
        <v>152</v>
      </c>
      <c r="H5" s="103" t="s">
        <v>201</v>
      </c>
      <c r="I5" s="148">
        <f>SUM(J8:J95)</f>
        <v>190041.62879999992</v>
      </c>
      <c r="J5" s="149"/>
    </row>
    <row r="6" spans="1:10" ht="12.75">
      <c r="A6" s="93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38</v>
      </c>
      <c r="B8" s="9"/>
      <c r="C8" s="7">
        <f>B8/14435</f>
        <v>0</v>
      </c>
      <c r="D8" s="9">
        <f>13+14</f>
        <v>27</v>
      </c>
      <c r="E8" s="7">
        <f>D8/4594</f>
        <v>0.0058772311710927295</v>
      </c>
      <c r="F8" s="9">
        <v>120</v>
      </c>
      <c r="G8" s="7">
        <f>F8/29322</f>
        <v>0.0040924902803355845</v>
      </c>
      <c r="H8" s="5">
        <f aca="true" t="shared" si="0" ref="H8:H71">+(C8+E8+G8)/3</f>
        <v>0.003323240483809438</v>
      </c>
      <c r="I8" s="10">
        <f>H8/$H$96</f>
        <v>0.011970486404616863</v>
      </c>
      <c r="J8" s="109">
        <f>I8*$J$96</f>
        <v>2274.8907338616445</v>
      </c>
    </row>
    <row r="9" spans="1:10" ht="12.75" outlineLevel="1">
      <c r="A9" s="92" t="s">
        <v>7</v>
      </c>
      <c r="B9" s="9">
        <f>1</f>
        <v>1</v>
      </c>
      <c r="C9" s="7">
        <f aca="true" t="shared" si="1" ref="C9:C72">B9/14435</f>
        <v>6.927606511950121E-05</v>
      </c>
      <c r="D9" s="9"/>
      <c r="E9" s="7">
        <f aca="true" t="shared" si="2" ref="E9:E72">D9/4594</f>
        <v>0</v>
      </c>
      <c r="F9" s="9">
        <v>17</v>
      </c>
      <c r="G9" s="7">
        <f aca="true" t="shared" si="3" ref="G9:G72">F9/29322</f>
        <v>0.0005797694563808744</v>
      </c>
      <c r="H9" s="5">
        <f t="shared" si="0"/>
        <v>0.00021634850716679188</v>
      </c>
      <c r="I9" s="10">
        <f aca="true" t="shared" si="4" ref="I9:I72">H9/$H$96</f>
        <v>0.0007792986623497515</v>
      </c>
      <c r="J9" s="109">
        <f aca="true" t="shared" si="5" ref="J9:J72">I9*$J$96</f>
        <v>148.09918711460801</v>
      </c>
    </row>
    <row r="10" spans="1:10" ht="12.75" outlineLevel="1">
      <c r="A10" s="92" t="s">
        <v>15</v>
      </c>
      <c r="B10" s="9">
        <f>1+3</f>
        <v>4</v>
      </c>
      <c r="C10" s="7">
        <f t="shared" si="1"/>
        <v>0.00027710426047800486</v>
      </c>
      <c r="D10" s="9">
        <v>5</v>
      </c>
      <c r="E10" s="7">
        <f t="shared" si="2"/>
        <v>0.00108837614279495</v>
      </c>
      <c r="F10" s="9">
        <v>19</v>
      </c>
      <c r="G10" s="7">
        <f t="shared" si="3"/>
        <v>0.0006479776277198008</v>
      </c>
      <c r="H10" s="5">
        <f t="shared" si="0"/>
        <v>0.0006711526769975852</v>
      </c>
      <c r="I10" s="10">
        <f t="shared" si="4"/>
        <v>0.002417527119858743</v>
      </c>
      <c r="J10" s="109">
        <f t="shared" si="5"/>
        <v>459.4307915261284</v>
      </c>
    </row>
    <row r="11" spans="1:10" ht="12.75" outlineLevel="1">
      <c r="A11" s="92" t="s">
        <v>16</v>
      </c>
      <c r="B11" s="9"/>
      <c r="C11" s="7">
        <f t="shared" si="1"/>
        <v>0</v>
      </c>
      <c r="D11" s="9"/>
      <c r="E11" s="7">
        <f t="shared" si="2"/>
        <v>0</v>
      </c>
      <c r="F11" s="9">
        <v>14</v>
      </c>
      <c r="G11" s="7">
        <f t="shared" si="3"/>
        <v>0.0004774571993724848</v>
      </c>
      <c r="H11" s="5">
        <f t="shared" si="0"/>
        <v>0.00015915239979082826</v>
      </c>
      <c r="I11" s="10">
        <f t="shared" si="4"/>
        <v>0.0005732752857459176</v>
      </c>
      <c r="J11" s="109">
        <f t="shared" si="5"/>
        <v>108.94616905393961</v>
      </c>
    </row>
    <row r="12" spans="1:10" ht="12.75" outlineLevel="1">
      <c r="A12" s="92" t="s">
        <v>144</v>
      </c>
      <c r="B12" s="9"/>
      <c r="C12" s="7">
        <f t="shared" si="1"/>
        <v>0</v>
      </c>
      <c r="D12" s="9">
        <v>2</v>
      </c>
      <c r="E12" s="7">
        <f t="shared" si="2"/>
        <v>0.00043535045711797995</v>
      </c>
      <c r="F12" s="9">
        <v>76</v>
      </c>
      <c r="G12" s="7">
        <f t="shared" si="3"/>
        <v>0.0025919105108792033</v>
      </c>
      <c r="H12" s="5">
        <f t="shared" si="0"/>
        <v>0.0010090869893323944</v>
      </c>
      <c r="I12" s="10">
        <f t="shared" si="4"/>
        <v>0.00363478422513459</v>
      </c>
      <c r="J12" s="109">
        <f t="shared" si="5"/>
        <v>690.7603144811234</v>
      </c>
    </row>
    <row r="13" spans="1:10" ht="12.75" outlineLevel="1">
      <c r="A13" s="92" t="s">
        <v>18</v>
      </c>
      <c r="B13" s="9">
        <f>54+76</f>
        <v>130</v>
      </c>
      <c r="C13" s="7">
        <f t="shared" si="1"/>
        <v>0.009005888465535157</v>
      </c>
      <c r="D13" s="9">
        <f>32+25+1+1+1+2</f>
        <v>62</v>
      </c>
      <c r="E13" s="7">
        <f t="shared" si="2"/>
        <v>0.013495864170657379</v>
      </c>
      <c r="F13" s="9">
        <v>129</v>
      </c>
      <c r="G13" s="7">
        <f t="shared" si="3"/>
        <v>0.004399427051360753</v>
      </c>
      <c r="H13" s="5">
        <f t="shared" si="0"/>
        <v>0.008967059895851096</v>
      </c>
      <c r="I13" s="10">
        <f t="shared" si="4"/>
        <v>0.0322998197378802</v>
      </c>
      <c r="J13" s="109">
        <f t="shared" si="5"/>
        <v>6138.310352933143</v>
      </c>
    </row>
    <row r="14" spans="1:10" ht="12.75" outlineLevel="1">
      <c r="A14" s="92" t="s">
        <v>22</v>
      </c>
      <c r="B14" s="9">
        <v>58</v>
      </c>
      <c r="C14" s="7">
        <f t="shared" si="1"/>
        <v>0.00401801177693107</v>
      </c>
      <c r="D14" s="9">
        <v>8</v>
      </c>
      <c r="E14" s="7">
        <f t="shared" si="2"/>
        <v>0.0017414018284719198</v>
      </c>
      <c r="F14" s="9">
        <v>50</v>
      </c>
      <c r="G14" s="7">
        <f t="shared" si="3"/>
        <v>0.0017052042834731602</v>
      </c>
      <c r="H14" s="5">
        <f t="shared" si="0"/>
        <v>0.0024882059629587165</v>
      </c>
      <c r="I14" s="10">
        <f t="shared" si="4"/>
        <v>0.008962648293614092</v>
      </c>
      <c r="J14" s="109">
        <f t="shared" si="5"/>
        <v>1703.2762800799626</v>
      </c>
    </row>
    <row r="15" spans="1:10" ht="12.75" outlineLevel="1">
      <c r="A15" s="92" t="s">
        <v>139</v>
      </c>
      <c r="B15" s="9"/>
      <c r="C15" s="7">
        <f t="shared" si="1"/>
        <v>0</v>
      </c>
      <c r="D15" s="9">
        <v>1</v>
      </c>
      <c r="E15" s="7">
        <f t="shared" si="2"/>
        <v>0.00021767522855898998</v>
      </c>
      <c r="F15" s="9">
        <v>3</v>
      </c>
      <c r="G15" s="7">
        <f t="shared" si="3"/>
        <v>0.0001023122570083896</v>
      </c>
      <c r="H15" s="5">
        <f t="shared" si="0"/>
        <v>0.00010666249518912652</v>
      </c>
      <c r="I15" s="10">
        <f t="shared" si="4"/>
        <v>0.0003842038982025007</v>
      </c>
      <c r="J15" s="109">
        <f t="shared" si="5"/>
        <v>73.01473460571263</v>
      </c>
    </row>
    <row r="16" spans="1:10" ht="12.75" outlineLevel="1">
      <c r="A16" s="92" t="s">
        <v>224</v>
      </c>
      <c r="B16" s="9"/>
      <c r="C16" s="7">
        <f t="shared" si="1"/>
        <v>0</v>
      </c>
      <c r="D16" s="9"/>
      <c r="E16" s="7">
        <f t="shared" si="2"/>
        <v>0</v>
      </c>
      <c r="F16" s="9">
        <v>3</v>
      </c>
      <c r="G16" s="7">
        <f t="shared" si="3"/>
        <v>0.0001023122570083896</v>
      </c>
      <c r="H16" s="5">
        <f t="shared" si="0"/>
        <v>3.41040856694632E-05</v>
      </c>
      <c r="I16" s="10">
        <f t="shared" si="4"/>
        <v>0.00012284470408841094</v>
      </c>
      <c r="J16" s="109">
        <f t="shared" si="5"/>
        <v>23.345607654415634</v>
      </c>
    </row>
    <row r="17" spans="1:10" ht="12.75" outlineLevel="1">
      <c r="A17" s="92" t="s">
        <v>26</v>
      </c>
      <c r="B17" s="9"/>
      <c r="C17" s="7">
        <f t="shared" si="1"/>
        <v>0</v>
      </c>
      <c r="D17" s="9">
        <f>2+2+2+1+2</f>
        <v>9</v>
      </c>
      <c r="E17" s="7">
        <f t="shared" si="2"/>
        <v>0.00195907705703091</v>
      </c>
      <c r="F17" s="9">
        <v>26</v>
      </c>
      <c r="G17" s="7">
        <f t="shared" si="3"/>
        <v>0.0008867062274060432</v>
      </c>
      <c r="H17" s="5">
        <f t="shared" si="0"/>
        <v>0.0009485944281456511</v>
      </c>
      <c r="I17" s="10">
        <f t="shared" si="4"/>
        <v>0.00341688684912637</v>
      </c>
      <c r="J17" s="109">
        <f t="shared" si="5"/>
        <v>649.3507422332752</v>
      </c>
    </row>
    <row r="18" spans="1:10" ht="12.75" outlineLevel="1">
      <c r="A18" s="92" t="s">
        <v>220</v>
      </c>
      <c r="B18" s="9">
        <f>8+4</f>
        <v>12</v>
      </c>
      <c r="C18" s="7">
        <f t="shared" si="1"/>
        <v>0.0008313127814340146</v>
      </c>
      <c r="D18" s="9">
        <f>57+1+5+3+3</f>
        <v>69</v>
      </c>
      <c r="E18" s="7">
        <f t="shared" si="2"/>
        <v>0.015019590770570308</v>
      </c>
      <c r="F18" s="9">
        <v>73</v>
      </c>
      <c r="G18" s="7">
        <f t="shared" si="3"/>
        <v>0.0024895982538708137</v>
      </c>
      <c r="H18" s="5">
        <f t="shared" si="0"/>
        <v>0.006113500601958379</v>
      </c>
      <c r="I18" s="10">
        <f t="shared" si="4"/>
        <v>0.022021149596875268</v>
      </c>
      <c r="J18" s="109">
        <f t="shared" si="5"/>
        <v>4184.93513743864</v>
      </c>
    </row>
    <row r="19" spans="1:10" ht="12.75" outlineLevel="1">
      <c r="A19" s="92" t="s">
        <v>215</v>
      </c>
      <c r="B19" s="9"/>
      <c r="C19" s="7">
        <f t="shared" si="1"/>
        <v>0</v>
      </c>
      <c r="D19" s="9">
        <v>16</v>
      </c>
      <c r="E19" s="7">
        <f t="shared" si="2"/>
        <v>0.0034828036569438396</v>
      </c>
      <c r="F19" s="9">
        <v>102</v>
      </c>
      <c r="G19" s="7">
        <f t="shared" si="3"/>
        <v>0.0034786167382852467</v>
      </c>
      <c r="H19" s="5">
        <f t="shared" si="0"/>
        <v>0.0023204734650763624</v>
      </c>
      <c r="I19" s="10">
        <f t="shared" si="4"/>
        <v>0.008358467044831409</v>
      </c>
      <c r="J19" s="109">
        <f t="shared" si="5"/>
        <v>1588.4566914708837</v>
      </c>
    </row>
    <row r="20" spans="1:10" ht="12.75" outlineLevel="1">
      <c r="A20" s="92" t="s">
        <v>166</v>
      </c>
      <c r="B20" s="9"/>
      <c r="C20" s="7">
        <f t="shared" si="1"/>
        <v>0</v>
      </c>
      <c r="D20" s="9"/>
      <c r="E20" s="7">
        <f t="shared" si="2"/>
        <v>0</v>
      </c>
      <c r="F20" s="9">
        <v>3</v>
      </c>
      <c r="G20" s="7">
        <f t="shared" si="3"/>
        <v>0.0001023122570083896</v>
      </c>
      <c r="H20" s="5">
        <f t="shared" si="0"/>
        <v>3.41040856694632E-05</v>
      </c>
      <c r="I20" s="10">
        <f t="shared" si="4"/>
        <v>0.00012284470408841094</v>
      </c>
      <c r="J20" s="109">
        <f t="shared" si="5"/>
        <v>23.345607654415634</v>
      </c>
    </row>
    <row r="21" spans="1:10" ht="12.75" outlineLevel="1">
      <c r="A21" s="92" t="s">
        <v>217</v>
      </c>
      <c r="B21" s="9"/>
      <c r="C21" s="7">
        <f t="shared" si="1"/>
        <v>0</v>
      </c>
      <c r="D21" s="9"/>
      <c r="E21" s="7">
        <f t="shared" si="2"/>
        <v>0</v>
      </c>
      <c r="F21" s="9">
        <v>3</v>
      </c>
      <c r="G21" s="7">
        <f t="shared" si="3"/>
        <v>0.0001023122570083896</v>
      </c>
      <c r="H21" s="5">
        <f t="shared" si="0"/>
        <v>3.41040856694632E-05</v>
      </c>
      <c r="I21" s="10">
        <f t="shared" si="4"/>
        <v>0.00012284470408841094</v>
      </c>
      <c r="J21" s="109">
        <f t="shared" si="5"/>
        <v>23.345607654415634</v>
      </c>
    </row>
    <row r="22" spans="1:10" ht="12.75" outlineLevel="1">
      <c r="A22" s="92" t="s">
        <v>5</v>
      </c>
      <c r="B22" s="9"/>
      <c r="C22" s="7">
        <f t="shared" si="1"/>
        <v>0</v>
      </c>
      <c r="D22" s="9"/>
      <c r="E22" s="7">
        <f t="shared" si="2"/>
        <v>0</v>
      </c>
      <c r="F22" s="9">
        <v>9</v>
      </c>
      <c r="G22" s="7">
        <f t="shared" si="3"/>
        <v>0.0003069367710251688</v>
      </c>
      <c r="H22" s="5">
        <f t="shared" si="0"/>
        <v>0.00010231225700838959</v>
      </c>
      <c r="I22" s="10">
        <f t="shared" si="4"/>
        <v>0.00036853411226523276</v>
      </c>
      <c r="J22" s="109">
        <f t="shared" si="5"/>
        <v>70.03682296324689</v>
      </c>
    </row>
    <row r="23" spans="1:10" ht="12.75" outlineLevel="1">
      <c r="A23" s="92" t="s">
        <v>205</v>
      </c>
      <c r="B23" s="9">
        <v>2</v>
      </c>
      <c r="C23" s="7">
        <f t="shared" si="1"/>
        <v>0.00013855213023900243</v>
      </c>
      <c r="D23" s="9">
        <f>1+2</f>
        <v>3</v>
      </c>
      <c r="E23" s="7">
        <f t="shared" si="2"/>
        <v>0.00065302568567697</v>
      </c>
      <c r="F23" s="9">
        <v>34</v>
      </c>
      <c r="G23" s="7">
        <f t="shared" si="3"/>
        <v>0.0011595389127617489</v>
      </c>
      <c r="H23" s="5">
        <f t="shared" si="0"/>
        <v>0.0006503722428925738</v>
      </c>
      <c r="I23" s="10">
        <f t="shared" si="4"/>
        <v>0.0023426749070417723</v>
      </c>
      <c r="J23" s="109">
        <f t="shared" si="5"/>
        <v>445.205755083107</v>
      </c>
    </row>
    <row r="24" spans="1:10" ht="12.75" outlineLevel="1">
      <c r="A24" s="92" t="s">
        <v>223</v>
      </c>
      <c r="B24" s="9"/>
      <c r="C24" s="7">
        <f t="shared" si="1"/>
        <v>0</v>
      </c>
      <c r="D24" s="9">
        <f>2+2+9+9+6</f>
        <v>28</v>
      </c>
      <c r="E24" s="7">
        <f t="shared" si="2"/>
        <v>0.0060949063996517195</v>
      </c>
      <c r="F24" s="9">
        <v>28</v>
      </c>
      <c r="G24" s="7">
        <f t="shared" si="3"/>
        <v>0.0009549143987449696</v>
      </c>
      <c r="H24" s="5">
        <f t="shared" si="0"/>
        <v>0.0023499402661322296</v>
      </c>
      <c r="I24" s="10">
        <f t="shared" si="4"/>
        <v>0.00846460800668635</v>
      </c>
      <c r="J24" s="109">
        <f t="shared" si="5"/>
        <v>1608.6278927441952</v>
      </c>
    </row>
    <row r="25" spans="1:10" ht="12.75" outlineLevel="1">
      <c r="A25" s="92" t="s">
        <v>282</v>
      </c>
      <c r="B25" s="9">
        <f>9+9</f>
        <v>18</v>
      </c>
      <c r="C25" s="7">
        <f t="shared" si="1"/>
        <v>0.0012469691721510219</v>
      </c>
      <c r="D25" s="9"/>
      <c r="E25" s="7">
        <f t="shared" si="2"/>
        <v>0</v>
      </c>
      <c r="F25" s="9">
        <v>9</v>
      </c>
      <c r="G25" s="7">
        <f t="shared" si="3"/>
        <v>0.0003069367710251688</v>
      </c>
      <c r="H25" s="5">
        <f t="shared" si="0"/>
        <v>0.0005179686477253969</v>
      </c>
      <c r="I25" s="10">
        <f t="shared" si="4"/>
        <v>0.001865750217542844</v>
      </c>
      <c r="J25" s="109">
        <f t="shared" si="5"/>
        <v>354.5702102757964</v>
      </c>
    </row>
    <row r="26" spans="1:10" ht="12.75" outlineLevel="1">
      <c r="A26" s="92" t="s">
        <v>43</v>
      </c>
      <c r="B26" s="9">
        <v>88</v>
      </c>
      <c r="C26" s="7">
        <f t="shared" si="1"/>
        <v>0.006096293730516107</v>
      </c>
      <c r="D26" s="9">
        <f>4+21</f>
        <v>25</v>
      </c>
      <c r="E26" s="7">
        <f t="shared" si="2"/>
        <v>0.00544188071397475</v>
      </c>
      <c r="F26" s="9">
        <v>93</v>
      </c>
      <c r="G26" s="7">
        <f t="shared" si="3"/>
        <v>0.0031716799672600778</v>
      </c>
      <c r="H26" s="5">
        <f t="shared" si="0"/>
        <v>0.004903284803916978</v>
      </c>
      <c r="I26" s="10">
        <f t="shared" si="4"/>
        <v>0.017661888860950194</v>
      </c>
      <c r="J26" s="109">
        <f t="shared" si="5"/>
        <v>3356.4941268195516</v>
      </c>
    </row>
    <row r="27" spans="1:10" ht="12.75" outlineLevel="1">
      <c r="A27" s="92" t="s">
        <v>283</v>
      </c>
      <c r="B27" s="9">
        <f>2+560</f>
        <v>562</v>
      </c>
      <c r="C27" s="7">
        <f t="shared" si="1"/>
        <v>0.038933148597159684</v>
      </c>
      <c r="D27" s="9">
        <f>1+20+2</f>
        <v>23</v>
      </c>
      <c r="E27" s="7">
        <f t="shared" si="2"/>
        <v>0.00500653025685677</v>
      </c>
      <c r="F27" s="9">
        <v>34</v>
      </c>
      <c r="G27" s="7">
        <f t="shared" si="3"/>
        <v>0.0011595389127617489</v>
      </c>
      <c r="H27" s="5">
        <f t="shared" si="0"/>
        <v>0.015033072588926067</v>
      </c>
      <c r="I27" s="10">
        <f t="shared" si="4"/>
        <v>0.05414991539796036</v>
      </c>
      <c r="J27" s="109">
        <f t="shared" si="5"/>
        <v>10290.738121610588</v>
      </c>
    </row>
    <row r="28" spans="1:10" ht="12.75" outlineLevel="1">
      <c r="A28" s="92" t="s">
        <v>46</v>
      </c>
      <c r="B28" s="9">
        <v>596</v>
      </c>
      <c r="C28" s="7">
        <f t="shared" si="1"/>
        <v>0.04128853481122272</v>
      </c>
      <c r="D28" s="9"/>
      <c r="E28" s="7">
        <f t="shared" si="2"/>
        <v>0</v>
      </c>
      <c r="F28" s="9">
        <v>262</v>
      </c>
      <c r="G28" s="7">
        <f t="shared" si="3"/>
        <v>0.008935270445399358</v>
      </c>
      <c r="H28" s="5">
        <f t="shared" si="0"/>
        <v>0.016741268418874026</v>
      </c>
      <c r="I28" s="10">
        <f t="shared" si="4"/>
        <v>0.06030292630957989</v>
      </c>
      <c r="J28" s="109">
        <f t="shared" si="5"/>
        <v>11460.066337278935</v>
      </c>
    </row>
    <row r="29" spans="1:10" ht="12.75" outlineLevel="1">
      <c r="A29" s="92" t="s">
        <v>44</v>
      </c>
      <c r="B29" s="9"/>
      <c r="C29" s="7">
        <f t="shared" si="1"/>
        <v>0</v>
      </c>
      <c r="D29" s="9"/>
      <c r="E29" s="7">
        <f t="shared" si="2"/>
        <v>0</v>
      </c>
      <c r="F29" s="9">
        <v>62</v>
      </c>
      <c r="G29" s="7">
        <f t="shared" si="3"/>
        <v>0.0021144533115067185</v>
      </c>
      <c r="H29" s="5">
        <f t="shared" si="0"/>
        <v>0.0007048177705022395</v>
      </c>
      <c r="I29" s="10">
        <f t="shared" si="4"/>
        <v>0.002538790551160493</v>
      </c>
      <c r="J29" s="109">
        <f t="shared" si="5"/>
        <v>482.4758915245898</v>
      </c>
    </row>
    <row r="30" spans="1:10" ht="12.75" outlineLevel="1">
      <c r="A30" s="92" t="s">
        <v>252</v>
      </c>
      <c r="B30" s="9"/>
      <c r="C30" s="7">
        <f t="shared" si="1"/>
        <v>0</v>
      </c>
      <c r="D30" s="9">
        <v>6</v>
      </c>
      <c r="E30" s="7">
        <f t="shared" si="2"/>
        <v>0.00130605137135394</v>
      </c>
      <c r="F30" s="9">
        <v>10</v>
      </c>
      <c r="G30" s="7">
        <f t="shared" si="3"/>
        <v>0.00034104085669463204</v>
      </c>
      <c r="H30" s="5">
        <f t="shared" si="0"/>
        <v>0.0005490307426828573</v>
      </c>
      <c r="I30" s="10">
        <f t="shared" si="4"/>
        <v>0.0019776375116459088</v>
      </c>
      <c r="J30" s="109">
        <f t="shared" si="5"/>
        <v>375.83345388916746</v>
      </c>
    </row>
    <row r="31" spans="1:10" ht="12.75" outlineLevel="1">
      <c r="A31" s="92" t="s">
        <v>240</v>
      </c>
      <c r="B31" s="9">
        <f>3+5</f>
        <v>8</v>
      </c>
      <c r="C31" s="7">
        <f t="shared" si="1"/>
        <v>0.0005542085209560097</v>
      </c>
      <c r="D31" s="9">
        <f>10</f>
        <v>10</v>
      </c>
      <c r="E31" s="7">
        <f t="shared" si="2"/>
        <v>0.0021767522855899</v>
      </c>
      <c r="F31" s="9">
        <f>12</f>
        <v>12</v>
      </c>
      <c r="G31" s="7">
        <f t="shared" si="3"/>
        <v>0.0004092490280335584</v>
      </c>
      <c r="H31" s="5">
        <f t="shared" si="0"/>
        <v>0.0010467366115264893</v>
      </c>
      <c r="I31" s="10">
        <f t="shared" si="4"/>
        <v>0.0037704001376179246</v>
      </c>
      <c r="J31" s="109">
        <f t="shared" si="5"/>
        <v>716.5329833806545</v>
      </c>
    </row>
    <row r="32" spans="1:10" ht="12.75" outlineLevel="1">
      <c r="A32" s="92" t="s">
        <v>45</v>
      </c>
      <c r="B32" s="9"/>
      <c r="C32" s="7">
        <f t="shared" si="1"/>
        <v>0</v>
      </c>
      <c r="D32" s="9">
        <f>4+2+1</f>
        <v>7</v>
      </c>
      <c r="E32" s="7">
        <f t="shared" si="2"/>
        <v>0.0015237265999129299</v>
      </c>
      <c r="F32" s="9">
        <v>18</v>
      </c>
      <c r="G32" s="7">
        <f t="shared" si="3"/>
        <v>0.0006138735420503376</v>
      </c>
      <c r="H32" s="5">
        <f t="shared" si="0"/>
        <v>0.0007125333806544225</v>
      </c>
      <c r="I32" s="10">
        <f t="shared" si="4"/>
        <v>0.002566582583329094</v>
      </c>
      <c r="J32" s="109">
        <f t="shared" si="5"/>
        <v>487.7575345855728</v>
      </c>
    </row>
    <row r="33" spans="1:10" ht="12.75" outlineLevel="1">
      <c r="A33" s="92" t="s">
        <v>167</v>
      </c>
      <c r="B33" s="9"/>
      <c r="C33" s="7">
        <f t="shared" si="1"/>
        <v>0</v>
      </c>
      <c r="D33" s="9"/>
      <c r="E33" s="7">
        <f t="shared" si="2"/>
        <v>0</v>
      </c>
      <c r="F33" s="9">
        <v>8</v>
      </c>
      <c r="G33" s="7">
        <f t="shared" si="3"/>
        <v>0.0002728326853557056</v>
      </c>
      <c r="H33" s="5">
        <f t="shared" si="0"/>
        <v>9.094422845190186E-05</v>
      </c>
      <c r="I33" s="10">
        <f t="shared" si="4"/>
        <v>0.0003275858775690958</v>
      </c>
      <c r="J33" s="109">
        <f t="shared" si="5"/>
        <v>62.25495374510835</v>
      </c>
    </row>
    <row r="34" spans="1:10" ht="12.75" outlineLevel="1">
      <c r="A34" s="92" t="s">
        <v>168</v>
      </c>
      <c r="B34" s="9"/>
      <c r="C34" s="7">
        <f t="shared" si="1"/>
        <v>0</v>
      </c>
      <c r="D34" s="9"/>
      <c r="E34" s="7">
        <f t="shared" si="2"/>
        <v>0</v>
      </c>
      <c r="F34" s="9">
        <v>10</v>
      </c>
      <c r="G34" s="7">
        <f t="shared" si="3"/>
        <v>0.00034104085669463204</v>
      </c>
      <c r="H34" s="5">
        <f t="shared" si="0"/>
        <v>0.00011368028556487735</v>
      </c>
      <c r="I34" s="10">
        <f t="shared" si="4"/>
        <v>0.00040948234696136987</v>
      </c>
      <c r="J34" s="109">
        <f t="shared" si="5"/>
        <v>77.81869218138546</v>
      </c>
    </row>
    <row r="35" spans="1:10" ht="12.75" outlineLevel="1">
      <c r="A35" s="92" t="s">
        <v>157</v>
      </c>
      <c r="B35" s="9">
        <f>7+4</f>
        <v>11</v>
      </c>
      <c r="C35" s="7">
        <f t="shared" si="1"/>
        <v>0.0007620367163145134</v>
      </c>
      <c r="D35" s="9">
        <f>1+4+1+1+1+2+1+1+1+1+1+5+6</f>
        <v>26</v>
      </c>
      <c r="E35" s="7">
        <f t="shared" si="2"/>
        <v>0.0056595559425337396</v>
      </c>
      <c r="F35" s="9">
        <v>78</v>
      </c>
      <c r="G35" s="7">
        <f t="shared" si="3"/>
        <v>0.0026601186822181296</v>
      </c>
      <c r="H35" s="5">
        <f t="shared" si="0"/>
        <v>0.0030272371136887944</v>
      </c>
      <c r="I35" s="10">
        <f t="shared" si="4"/>
        <v>0.010904266750934671</v>
      </c>
      <c r="J35" s="109">
        <f t="shared" si="5"/>
        <v>2072.264614217309</v>
      </c>
    </row>
    <row r="36" spans="1:10" ht="12.75" outlineLevel="1">
      <c r="A36" s="92" t="s">
        <v>50</v>
      </c>
      <c r="B36" s="9">
        <v>6</v>
      </c>
      <c r="C36" s="7">
        <f t="shared" si="1"/>
        <v>0.0004156563907170073</v>
      </c>
      <c r="D36" s="9">
        <v>3</v>
      </c>
      <c r="E36" s="7">
        <f t="shared" si="2"/>
        <v>0.00065302568567697</v>
      </c>
      <c r="F36" s="9">
        <v>22</v>
      </c>
      <c r="G36" s="7">
        <f t="shared" si="3"/>
        <v>0.0007502898847281905</v>
      </c>
      <c r="H36" s="5">
        <f t="shared" si="0"/>
        <v>0.0006063239870407225</v>
      </c>
      <c r="I36" s="10">
        <f t="shared" si="4"/>
        <v>0.0021840107807498195</v>
      </c>
      <c r="J36" s="109">
        <f t="shared" si="5"/>
        <v>415.0529660904554</v>
      </c>
    </row>
    <row r="37" spans="1:10" ht="12.75" outlineLevel="1">
      <c r="A37" s="92" t="s">
        <v>52</v>
      </c>
      <c r="B37" s="9">
        <v>66</v>
      </c>
      <c r="C37" s="7">
        <f t="shared" si="1"/>
        <v>0.00457222029788708</v>
      </c>
      <c r="D37" s="9">
        <f>7+7</f>
        <v>14</v>
      </c>
      <c r="E37" s="7">
        <f t="shared" si="2"/>
        <v>0.0030474531998258597</v>
      </c>
      <c r="F37" s="9">
        <v>38</v>
      </c>
      <c r="G37" s="7">
        <f t="shared" si="3"/>
        <v>0.0012959552554396017</v>
      </c>
      <c r="H37" s="5">
        <f t="shared" si="0"/>
        <v>0.002971876251050847</v>
      </c>
      <c r="I37" s="10">
        <f t="shared" si="4"/>
        <v>0.010704854022068368</v>
      </c>
      <c r="J37" s="109">
        <f t="shared" si="5"/>
        <v>2034.3678944201038</v>
      </c>
    </row>
    <row r="38" spans="1:10" ht="12.75" outlineLevel="1">
      <c r="A38" s="92" t="s">
        <v>154</v>
      </c>
      <c r="B38" s="9"/>
      <c r="C38" s="7">
        <f t="shared" si="1"/>
        <v>0</v>
      </c>
      <c r="D38" s="9"/>
      <c r="E38" s="7">
        <f t="shared" si="2"/>
        <v>0</v>
      </c>
      <c r="F38" s="9">
        <v>31</v>
      </c>
      <c r="G38" s="7">
        <f t="shared" si="3"/>
        <v>0.0010572266557533593</v>
      </c>
      <c r="H38" s="5">
        <f t="shared" si="0"/>
        <v>0.00035240888525111977</v>
      </c>
      <c r="I38" s="10">
        <f t="shared" si="4"/>
        <v>0.0012693952755802465</v>
      </c>
      <c r="J38" s="109">
        <f t="shared" si="5"/>
        <v>241.2379457622949</v>
      </c>
    </row>
    <row r="39" spans="1:10" ht="12.75" outlineLevel="1">
      <c r="A39" s="92" t="s">
        <v>175</v>
      </c>
      <c r="B39" s="9"/>
      <c r="C39" s="7">
        <f t="shared" si="1"/>
        <v>0</v>
      </c>
      <c r="D39" s="9"/>
      <c r="E39" s="7">
        <f t="shared" si="2"/>
        <v>0</v>
      </c>
      <c r="F39" s="9">
        <v>2</v>
      </c>
      <c r="G39" s="7">
        <f t="shared" si="3"/>
        <v>6.82081713389264E-05</v>
      </c>
      <c r="H39" s="5">
        <f t="shared" si="0"/>
        <v>2.2736057112975465E-05</v>
      </c>
      <c r="I39" s="10">
        <f t="shared" si="4"/>
        <v>8.189646939227395E-05</v>
      </c>
      <c r="J39" s="109">
        <f t="shared" si="5"/>
        <v>15.563738436277088</v>
      </c>
    </row>
    <row r="40" spans="1:10" ht="12.75" outlineLevel="1">
      <c r="A40" s="92" t="s">
        <v>256</v>
      </c>
      <c r="B40" s="9">
        <v>20</v>
      </c>
      <c r="C40" s="7">
        <f t="shared" si="1"/>
        <v>0.0013855213023900243</v>
      </c>
      <c r="D40" s="9"/>
      <c r="E40" s="7">
        <f t="shared" si="2"/>
        <v>0</v>
      </c>
      <c r="F40" s="9">
        <v>4</v>
      </c>
      <c r="G40" s="7">
        <f t="shared" si="3"/>
        <v>0.0001364163426778528</v>
      </c>
      <c r="H40" s="5">
        <f t="shared" si="0"/>
        <v>0.000507312548355959</v>
      </c>
      <c r="I40" s="10">
        <f t="shared" si="4"/>
        <v>0.0018273663890930048</v>
      </c>
      <c r="J40" s="109">
        <f t="shared" si="5"/>
        <v>347.2756849976092</v>
      </c>
    </row>
    <row r="41" spans="1:10" ht="12.75" outlineLevel="1">
      <c r="A41" s="92" t="s">
        <v>158</v>
      </c>
      <c r="B41" s="9">
        <f>1+2</f>
        <v>3</v>
      </c>
      <c r="C41" s="7">
        <f t="shared" si="1"/>
        <v>0.00020782819535850364</v>
      </c>
      <c r="D41" s="9">
        <f>3+1</f>
        <v>4</v>
      </c>
      <c r="E41" s="7">
        <f t="shared" si="2"/>
        <v>0.0008707009142359599</v>
      </c>
      <c r="F41" s="9">
        <v>47</v>
      </c>
      <c r="G41" s="7">
        <f t="shared" si="3"/>
        <v>0.0016028920264647706</v>
      </c>
      <c r="H41" s="5">
        <f t="shared" si="0"/>
        <v>0.000893807045353078</v>
      </c>
      <c r="I41" s="10">
        <f t="shared" si="4"/>
        <v>0.0032195398247210657</v>
      </c>
      <c r="J41" s="109">
        <f t="shared" si="5"/>
        <v>611.8465922764578</v>
      </c>
    </row>
    <row r="42" spans="1:10" ht="12.75" outlineLevel="1">
      <c r="A42" s="92" t="s">
        <v>141</v>
      </c>
      <c r="B42" s="9"/>
      <c r="C42" s="7">
        <f t="shared" si="1"/>
        <v>0</v>
      </c>
      <c r="D42" s="9">
        <f>2+2</f>
        <v>4</v>
      </c>
      <c r="E42" s="7">
        <f t="shared" si="2"/>
        <v>0.0008707009142359599</v>
      </c>
      <c r="F42" s="9">
        <v>51</v>
      </c>
      <c r="G42" s="7">
        <f t="shared" si="3"/>
        <v>0.0017393083691426233</v>
      </c>
      <c r="H42" s="5">
        <f t="shared" si="0"/>
        <v>0.0008700030944595277</v>
      </c>
      <c r="I42" s="10">
        <f t="shared" si="4"/>
        <v>0.003133796745959345</v>
      </c>
      <c r="J42" s="109">
        <f t="shared" si="5"/>
        <v>595.5518379302538</v>
      </c>
    </row>
    <row r="43" spans="1:10" ht="12.75" outlineLevel="1">
      <c r="A43" s="92" t="s">
        <v>55</v>
      </c>
      <c r="B43" s="9">
        <f>2+67</f>
        <v>69</v>
      </c>
      <c r="C43" s="7">
        <f t="shared" si="1"/>
        <v>0.0047800484932455835</v>
      </c>
      <c r="D43" s="9">
        <f>18+2</f>
        <v>20</v>
      </c>
      <c r="E43" s="7">
        <f t="shared" si="2"/>
        <v>0.0043535045711798</v>
      </c>
      <c r="F43" s="9">
        <v>61</v>
      </c>
      <c r="G43" s="7">
        <f t="shared" si="3"/>
        <v>0.002080349225837255</v>
      </c>
      <c r="H43" s="5">
        <f t="shared" si="0"/>
        <v>0.0037379674300875468</v>
      </c>
      <c r="I43" s="10">
        <f t="shared" si="4"/>
        <v>0.01346435460231033</v>
      </c>
      <c r="J43" s="109">
        <f t="shared" si="5"/>
        <v>2558.7878793638315</v>
      </c>
    </row>
    <row r="44" spans="1:10" ht="12.75" outlineLevel="1">
      <c r="A44" s="92" t="s">
        <v>33</v>
      </c>
      <c r="B44" s="9">
        <v>1</v>
      </c>
      <c r="C44" s="7">
        <f t="shared" si="1"/>
        <v>6.927606511950121E-05</v>
      </c>
      <c r="D44" s="9">
        <f>1+1</f>
        <v>2</v>
      </c>
      <c r="E44" s="7">
        <f t="shared" si="2"/>
        <v>0.00043535045711797995</v>
      </c>
      <c r="F44" s="9">
        <v>66</v>
      </c>
      <c r="G44" s="7">
        <f t="shared" si="3"/>
        <v>0.0022508696541845715</v>
      </c>
      <c r="H44" s="5">
        <f t="shared" si="0"/>
        <v>0.0009184987254740176</v>
      </c>
      <c r="I44" s="10">
        <f t="shared" si="4"/>
        <v>0.0033084805506886435</v>
      </c>
      <c r="J44" s="109">
        <f t="shared" si="5"/>
        <v>628.7490327059908</v>
      </c>
    </row>
    <row r="45" spans="1:10" ht="12.75" outlineLevel="1">
      <c r="A45" s="92" t="s">
        <v>143</v>
      </c>
      <c r="B45" s="9"/>
      <c r="C45" s="7">
        <f t="shared" si="1"/>
        <v>0</v>
      </c>
      <c r="D45" s="9">
        <v>7</v>
      </c>
      <c r="E45" s="7">
        <f t="shared" si="2"/>
        <v>0.0015237265999129299</v>
      </c>
      <c r="F45" s="9">
        <v>38</v>
      </c>
      <c r="G45" s="7">
        <f t="shared" si="3"/>
        <v>0.0012959552554396017</v>
      </c>
      <c r="H45" s="5">
        <f t="shared" si="0"/>
        <v>0.0009398939517841772</v>
      </c>
      <c r="I45" s="10">
        <f t="shared" si="4"/>
        <v>0.003385547277251834</v>
      </c>
      <c r="J45" s="109">
        <f t="shared" si="5"/>
        <v>643.3949189483437</v>
      </c>
    </row>
    <row r="46" spans="1:10" ht="12.75" outlineLevel="1">
      <c r="A46" s="92" t="s">
        <v>164</v>
      </c>
      <c r="B46" s="9">
        <f>4+1</f>
        <v>5</v>
      </c>
      <c r="C46" s="7">
        <f t="shared" si="1"/>
        <v>0.00034638032559750607</v>
      </c>
      <c r="D46" s="9"/>
      <c r="E46" s="7">
        <f t="shared" si="2"/>
        <v>0</v>
      </c>
      <c r="F46" s="9">
        <v>101</v>
      </c>
      <c r="G46" s="7">
        <f t="shared" si="3"/>
        <v>0.0034445126526157833</v>
      </c>
      <c r="H46" s="5">
        <f t="shared" si="0"/>
        <v>0.0012636309927377633</v>
      </c>
      <c r="I46" s="10">
        <f t="shared" si="4"/>
        <v>0.00455166506688695</v>
      </c>
      <c r="J46" s="109">
        <f t="shared" si="5"/>
        <v>865.005843063257</v>
      </c>
    </row>
    <row r="47" spans="1:10" ht="12.75" outlineLevel="1">
      <c r="A47" s="92" t="s">
        <v>61</v>
      </c>
      <c r="B47" s="9">
        <v>70</v>
      </c>
      <c r="C47" s="7">
        <f t="shared" si="1"/>
        <v>0.0048493245583650845</v>
      </c>
      <c r="D47" s="9">
        <v>6</v>
      </c>
      <c r="E47" s="7">
        <f t="shared" si="2"/>
        <v>0.00130605137135394</v>
      </c>
      <c r="F47" s="9">
        <v>44</v>
      </c>
      <c r="G47" s="7">
        <f t="shared" si="3"/>
        <v>0.001500579769456381</v>
      </c>
      <c r="H47" s="5">
        <f t="shared" si="0"/>
        <v>0.0025519852330584685</v>
      </c>
      <c r="I47" s="10">
        <f t="shared" si="4"/>
        <v>0.009192384567394164</v>
      </c>
      <c r="J47" s="109">
        <f t="shared" si="5"/>
        <v>1746.9357357435704</v>
      </c>
    </row>
    <row r="48" spans="1:10" ht="12.75" outlineLevel="1">
      <c r="A48" s="92" t="s">
        <v>63</v>
      </c>
      <c r="B48" s="9">
        <v>24</v>
      </c>
      <c r="C48" s="7">
        <f t="shared" si="1"/>
        <v>0.0016626255628680291</v>
      </c>
      <c r="D48" s="9"/>
      <c r="E48" s="7">
        <f t="shared" si="2"/>
        <v>0</v>
      </c>
      <c r="F48" s="9">
        <v>28</v>
      </c>
      <c r="G48" s="7">
        <f t="shared" si="3"/>
        <v>0.0009549143987449696</v>
      </c>
      <c r="H48" s="5">
        <f t="shared" si="0"/>
        <v>0.0008725133205376663</v>
      </c>
      <c r="I48" s="10">
        <f t="shared" si="4"/>
        <v>0.0031428387118619837</v>
      </c>
      <c r="J48" s="109">
        <f t="shared" si="5"/>
        <v>597.2701878579453</v>
      </c>
    </row>
    <row r="49" spans="1:10" ht="12.75" outlineLevel="1">
      <c r="A49" s="92" t="s">
        <v>146</v>
      </c>
      <c r="B49" s="9"/>
      <c r="C49" s="7">
        <f t="shared" si="1"/>
        <v>0</v>
      </c>
      <c r="D49" s="9">
        <v>26</v>
      </c>
      <c r="E49" s="7">
        <f t="shared" si="2"/>
        <v>0.0056595559425337396</v>
      </c>
      <c r="F49" s="9">
        <v>1</v>
      </c>
      <c r="G49" s="7">
        <f t="shared" si="3"/>
        <v>3.41040856694632E-05</v>
      </c>
      <c r="H49" s="5">
        <f t="shared" si="0"/>
        <v>0.0018978866760677342</v>
      </c>
      <c r="I49" s="10">
        <f t="shared" si="4"/>
        <v>0.006836287281662472</v>
      </c>
      <c r="J49" s="109">
        <f t="shared" si="5"/>
        <v>1299.1791699518606</v>
      </c>
    </row>
    <row r="50" spans="1:10" ht="12.75" outlineLevel="1">
      <c r="A50" s="92" t="s">
        <v>66</v>
      </c>
      <c r="B50" s="9">
        <v>24</v>
      </c>
      <c r="C50" s="7">
        <f t="shared" si="1"/>
        <v>0.0016626255628680291</v>
      </c>
      <c r="D50" s="9"/>
      <c r="E50" s="7">
        <f t="shared" si="2"/>
        <v>0</v>
      </c>
      <c r="F50" s="9">
        <v>7</v>
      </c>
      <c r="G50" s="7">
        <f t="shared" si="3"/>
        <v>0.0002387285996862424</v>
      </c>
      <c r="H50" s="5">
        <f t="shared" si="0"/>
        <v>0.0006337847208514239</v>
      </c>
      <c r="I50" s="10">
        <f t="shared" si="4"/>
        <v>0.002282925783243107</v>
      </c>
      <c r="J50" s="109">
        <f t="shared" si="5"/>
        <v>433.85093427703583</v>
      </c>
    </row>
    <row r="51" spans="1:10" ht="12.75" outlineLevel="1">
      <c r="A51" s="92" t="s">
        <v>147</v>
      </c>
      <c r="B51" s="9"/>
      <c r="C51" s="7">
        <f t="shared" si="1"/>
        <v>0</v>
      </c>
      <c r="D51" s="9">
        <f>2+1</f>
        <v>3</v>
      </c>
      <c r="E51" s="7">
        <f t="shared" si="2"/>
        <v>0.00065302568567697</v>
      </c>
      <c r="F51" s="9">
        <v>3</v>
      </c>
      <c r="G51" s="7">
        <f t="shared" si="3"/>
        <v>0.0001023122570083896</v>
      </c>
      <c r="H51" s="5">
        <f t="shared" si="0"/>
        <v>0.0002517793142284532</v>
      </c>
      <c r="I51" s="10">
        <f t="shared" si="4"/>
        <v>0.0009069222864306804</v>
      </c>
      <c r="J51" s="109">
        <f t="shared" si="5"/>
        <v>172.35298850830665</v>
      </c>
    </row>
    <row r="52" spans="1:10" ht="12.75" outlineLevel="1">
      <c r="A52" s="92" t="s">
        <v>67</v>
      </c>
      <c r="B52" s="9"/>
      <c r="C52" s="7">
        <f t="shared" si="1"/>
        <v>0</v>
      </c>
      <c r="D52" s="9"/>
      <c r="E52" s="7">
        <f t="shared" si="2"/>
        <v>0</v>
      </c>
      <c r="F52" s="9">
        <v>18</v>
      </c>
      <c r="G52" s="7">
        <f t="shared" si="3"/>
        <v>0.0006138735420503376</v>
      </c>
      <c r="H52" s="5">
        <f t="shared" si="0"/>
        <v>0.00020462451401677918</v>
      </c>
      <c r="I52" s="10">
        <f t="shared" si="4"/>
        <v>0.0007370682245304655</v>
      </c>
      <c r="J52" s="109">
        <f t="shared" si="5"/>
        <v>140.07364592649378</v>
      </c>
    </row>
    <row r="53" spans="1:10" ht="12.75" outlineLevel="1">
      <c r="A53" s="92" t="s">
        <v>68</v>
      </c>
      <c r="B53" s="9">
        <v>9</v>
      </c>
      <c r="C53" s="7">
        <f t="shared" si="1"/>
        <v>0.0006234845860755109</v>
      </c>
      <c r="D53" s="9"/>
      <c r="E53" s="7">
        <f t="shared" si="2"/>
        <v>0</v>
      </c>
      <c r="F53" s="9">
        <v>21</v>
      </c>
      <c r="G53" s="7">
        <f t="shared" si="3"/>
        <v>0.0007161857990587272</v>
      </c>
      <c r="H53" s="5">
        <f t="shared" si="0"/>
        <v>0.00044655679504474605</v>
      </c>
      <c r="I53" s="10">
        <f t="shared" si="4"/>
        <v>0.001608520981257682</v>
      </c>
      <c r="J53" s="109">
        <f t="shared" si="5"/>
        <v>305.68594723718417</v>
      </c>
    </row>
    <row r="54" spans="1:10" ht="12.75" outlineLevel="1">
      <c r="A54" s="92" t="s">
        <v>155</v>
      </c>
      <c r="B54" s="9">
        <f>1+1</f>
        <v>2</v>
      </c>
      <c r="C54" s="7">
        <f t="shared" si="1"/>
        <v>0.00013855213023900243</v>
      </c>
      <c r="D54" s="9"/>
      <c r="E54" s="7">
        <f t="shared" si="2"/>
        <v>0</v>
      </c>
      <c r="F54" s="9">
        <v>74</v>
      </c>
      <c r="G54" s="7">
        <f t="shared" si="3"/>
        <v>0.002523702339540277</v>
      </c>
      <c r="H54" s="5">
        <f t="shared" si="0"/>
        <v>0.0008874181565930932</v>
      </c>
      <c r="I54" s="10">
        <f t="shared" si="4"/>
        <v>0.0031965267125449825</v>
      </c>
      <c r="J54" s="109">
        <f t="shared" si="5"/>
        <v>607.4731429547579</v>
      </c>
    </row>
    <row r="55" spans="1:10" ht="12.75" outlineLevel="1">
      <c r="A55" s="92" t="s">
        <v>62</v>
      </c>
      <c r="B55" s="9">
        <v>62</v>
      </c>
      <c r="C55" s="7">
        <f t="shared" si="1"/>
        <v>0.004295116037409075</v>
      </c>
      <c r="D55" s="9">
        <v>7</v>
      </c>
      <c r="E55" s="7">
        <f t="shared" si="2"/>
        <v>0.0015237265999129299</v>
      </c>
      <c r="F55" s="9">
        <v>48</v>
      </c>
      <c r="G55" s="7">
        <f t="shared" si="3"/>
        <v>0.0016369961121342337</v>
      </c>
      <c r="H55" s="5">
        <f t="shared" si="0"/>
        <v>0.002485279583152079</v>
      </c>
      <c r="I55" s="10">
        <f t="shared" si="4"/>
        <v>0.008952107320169418</v>
      </c>
      <c r="J55" s="109">
        <f t="shared" si="5"/>
        <v>1701.2730563173993</v>
      </c>
    </row>
    <row r="56" spans="1:10" ht="12.75" outlineLevel="1">
      <c r="A56" s="92" t="s">
        <v>70</v>
      </c>
      <c r="B56" s="9">
        <v>55</v>
      </c>
      <c r="C56" s="7">
        <f t="shared" si="1"/>
        <v>0.0038101835815725666</v>
      </c>
      <c r="D56" s="9">
        <v>11</v>
      </c>
      <c r="E56" s="7">
        <f t="shared" si="2"/>
        <v>0.00239442751414889</v>
      </c>
      <c r="F56" s="9">
        <v>45</v>
      </c>
      <c r="G56" s="7">
        <f t="shared" si="3"/>
        <v>0.001534683855125844</v>
      </c>
      <c r="H56" s="5">
        <f t="shared" si="0"/>
        <v>0.002579764983615767</v>
      </c>
      <c r="I56" s="10">
        <f t="shared" si="4"/>
        <v>0.009292448684929408</v>
      </c>
      <c r="J56" s="109">
        <f t="shared" si="5"/>
        <v>1765.9520836244028</v>
      </c>
    </row>
    <row r="57" spans="1:10" ht="12.75" outlineLevel="1">
      <c r="A57" s="92" t="s">
        <v>165</v>
      </c>
      <c r="B57" s="9"/>
      <c r="C57" s="7">
        <f t="shared" si="1"/>
        <v>0</v>
      </c>
      <c r="D57" s="9"/>
      <c r="E57" s="7">
        <f t="shared" si="2"/>
        <v>0</v>
      </c>
      <c r="F57" s="9">
        <v>20</v>
      </c>
      <c r="G57" s="7">
        <f t="shared" si="3"/>
        <v>0.0006820817133892641</v>
      </c>
      <c r="H57" s="5">
        <f t="shared" si="0"/>
        <v>0.0002273605711297547</v>
      </c>
      <c r="I57" s="10">
        <f t="shared" si="4"/>
        <v>0.0008189646939227397</v>
      </c>
      <c r="J57" s="109">
        <f t="shared" si="5"/>
        <v>155.63738436277092</v>
      </c>
    </row>
    <row r="58" spans="1:10" ht="12.75" outlineLevel="1">
      <c r="A58" s="92" t="s">
        <v>72</v>
      </c>
      <c r="B58" s="9">
        <f>166+2</f>
        <v>168</v>
      </c>
      <c r="C58" s="7">
        <f t="shared" si="1"/>
        <v>0.011638378940076204</v>
      </c>
      <c r="D58" s="9">
        <f>17+3</f>
        <v>20</v>
      </c>
      <c r="E58" s="7">
        <f t="shared" si="2"/>
        <v>0.0043535045711798</v>
      </c>
      <c r="F58" s="9">
        <v>96</v>
      </c>
      <c r="G58" s="7">
        <f t="shared" si="3"/>
        <v>0.0032739922242684674</v>
      </c>
      <c r="H58" s="5">
        <f t="shared" si="0"/>
        <v>0.006421958578508157</v>
      </c>
      <c r="I58" s="10">
        <f t="shared" si="4"/>
        <v>0.023132231395701985</v>
      </c>
      <c r="J58" s="109">
        <f t="shared" si="5"/>
        <v>4396.086932217702</v>
      </c>
    </row>
    <row r="59" spans="1:10" ht="12.75" outlineLevel="1">
      <c r="A59" s="92" t="s">
        <v>73</v>
      </c>
      <c r="B59" s="9"/>
      <c r="C59" s="7">
        <f t="shared" si="1"/>
        <v>0</v>
      </c>
      <c r="D59" s="9"/>
      <c r="E59" s="7">
        <f t="shared" si="2"/>
        <v>0</v>
      </c>
      <c r="F59" s="9">
        <v>17</v>
      </c>
      <c r="G59" s="7">
        <f t="shared" si="3"/>
        <v>0.0005797694563808744</v>
      </c>
      <c r="H59" s="5">
        <f t="shared" si="0"/>
        <v>0.00019325648546029148</v>
      </c>
      <c r="I59" s="10">
        <f t="shared" si="4"/>
        <v>0.0006961199898343287</v>
      </c>
      <c r="J59" s="109">
        <f t="shared" si="5"/>
        <v>132.29177670835526</v>
      </c>
    </row>
    <row r="60" spans="1:10" ht="12.75" outlineLevel="1">
      <c r="A60" s="92" t="s">
        <v>75</v>
      </c>
      <c r="B60" s="9">
        <f>754+2</f>
        <v>756</v>
      </c>
      <c r="C60" s="7">
        <f t="shared" si="1"/>
        <v>0.05237270523034292</v>
      </c>
      <c r="D60" s="9">
        <f>110+5</f>
        <v>115</v>
      </c>
      <c r="E60" s="7">
        <f t="shared" si="2"/>
        <v>0.02503265128428385</v>
      </c>
      <c r="F60" s="9">
        <v>525</v>
      </c>
      <c r="G60" s="7">
        <f t="shared" si="3"/>
        <v>0.01790464497646818</v>
      </c>
      <c r="H60" s="5">
        <f t="shared" si="0"/>
        <v>0.03177000049703165</v>
      </c>
      <c r="I60" s="10">
        <f t="shared" si="4"/>
        <v>0.11443720696025192</v>
      </c>
      <c r="J60" s="109">
        <f t="shared" si="5"/>
        <v>21747.833206048974</v>
      </c>
    </row>
    <row r="61" spans="1:10" ht="12.75" outlineLevel="1">
      <c r="A61" s="92" t="s">
        <v>219</v>
      </c>
      <c r="B61" s="9"/>
      <c r="C61" s="7">
        <f t="shared" si="1"/>
        <v>0</v>
      </c>
      <c r="D61" s="9">
        <f>1+1</f>
        <v>2</v>
      </c>
      <c r="E61" s="7">
        <f t="shared" si="2"/>
        <v>0.00043535045711797995</v>
      </c>
      <c r="F61" s="9">
        <v>11</v>
      </c>
      <c r="G61" s="7">
        <f t="shared" si="3"/>
        <v>0.00037514494236409523</v>
      </c>
      <c r="H61" s="5">
        <f t="shared" si="0"/>
        <v>0.00027016513316069173</v>
      </c>
      <c r="I61" s="10">
        <f t="shared" si="4"/>
        <v>0.0009731489698856864</v>
      </c>
      <c r="J61" s="109">
        <f t="shared" si="5"/>
        <v>184.938815302118</v>
      </c>
    </row>
    <row r="62" spans="1:10" ht="12.75" outlineLevel="1">
      <c r="A62" s="92" t="s">
        <v>74</v>
      </c>
      <c r="B62" s="9"/>
      <c r="C62" s="7">
        <f t="shared" si="1"/>
        <v>0</v>
      </c>
      <c r="D62" s="9">
        <f>5+3+4</f>
        <v>12</v>
      </c>
      <c r="E62" s="7">
        <f t="shared" si="2"/>
        <v>0.00261210274270788</v>
      </c>
      <c r="F62" s="9">
        <v>183</v>
      </c>
      <c r="G62" s="7">
        <f t="shared" si="3"/>
        <v>0.006241047677511766</v>
      </c>
      <c r="H62" s="5">
        <f t="shared" si="0"/>
        <v>0.0029510501400732154</v>
      </c>
      <c r="I62" s="10">
        <f t="shared" si="4"/>
        <v>0.010629837278762145</v>
      </c>
      <c r="J62" s="109">
        <f t="shared" si="5"/>
        <v>2020.1115903349178</v>
      </c>
    </row>
    <row r="63" spans="1:10" ht="12.75" outlineLevel="1">
      <c r="A63" s="92" t="s">
        <v>156</v>
      </c>
      <c r="B63" s="9"/>
      <c r="C63" s="7">
        <f t="shared" si="1"/>
        <v>0</v>
      </c>
      <c r="D63" s="9"/>
      <c r="E63" s="7">
        <f t="shared" si="2"/>
        <v>0</v>
      </c>
      <c r="F63" s="9">
        <v>33</v>
      </c>
      <c r="G63" s="7">
        <f t="shared" si="3"/>
        <v>0.0011254348270922857</v>
      </c>
      <c r="H63" s="5">
        <f t="shared" si="0"/>
        <v>0.00037514494236409523</v>
      </c>
      <c r="I63" s="10">
        <f t="shared" si="4"/>
        <v>0.0013512917449725204</v>
      </c>
      <c r="J63" s="109">
        <f t="shared" si="5"/>
        <v>256.801684198572</v>
      </c>
    </row>
    <row r="64" spans="1:10" ht="12.75" outlineLevel="1">
      <c r="A64" s="92" t="s">
        <v>84</v>
      </c>
      <c r="B64" s="9">
        <v>135</v>
      </c>
      <c r="C64" s="7">
        <f t="shared" si="1"/>
        <v>0.009352268791132663</v>
      </c>
      <c r="D64" s="9">
        <v>9</v>
      </c>
      <c r="E64" s="7">
        <f t="shared" si="2"/>
        <v>0.00195907705703091</v>
      </c>
      <c r="F64" s="9">
        <v>72</v>
      </c>
      <c r="G64" s="7">
        <f t="shared" si="3"/>
        <v>0.0024554941682013503</v>
      </c>
      <c r="H64" s="5">
        <f t="shared" si="0"/>
        <v>0.0045889466721216405</v>
      </c>
      <c r="I64" s="10">
        <f t="shared" si="4"/>
        <v>0.01652962643473075</v>
      </c>
      <c r="J64" s="109">
        <f t="shared" si="5"/>
        <v>3141.3171311117685</v>
      </c>
    </row>
    <row r="65" spans="1:10" ht="12.75" outlineLevel="1">
      <c r="A65" s="92" t="s">
        <v>85</v>
      </c>
      <c r="B65" s="9">
        <v>116</v>
      </c>
      <c r="C65" s="7">
        <f t="shared" si="1"/>
        <v>0.00803602355386214</v>
      </c>
      <c r="D65" s="9"/>
      <c r="E65" s="7">
        <f t="shared" si="2"/>
        <v>0</v>
      </c>
      <c r="F65" s="9">
        <v>38</v>
      </c>
      <c r="G65" s="7">
        <f t="shared" si="3"/>
        <v>0.0012959552554396017</v>
      </c>
      <c r="H65" s="5">
        <f t="shared" si="0"/>
        <v>0.0031106596031005803</v>
      </c>
      <c r="I65" s="10">
        <f t="shared" si="4"/>
        <v>0.011204758930242252</v>
      </c>
      <c r="J65" s="109">
        <f t="shared" si="5"/>
        <v>2129.370637414583</v>
      </c>
    </row>
    <row r="66" spans="1:10" ht="12.75" outlineLevel="1">
      <c r="A66" s="92" t="s">
        <v>88</v>
      </c>
      <c r="B66" s="9">
        <f>644+28</f>
        <v>672</v>
      </c>
      <c r="C66" s="7">
        <f t="shared" si="1"/>
        <v>0.046553515760304816</v>
      </c>
      <c r="D66" s="9">
        <f>3+80+1</f>
        <v>84</v>
      </c>
      <c r="E66" s="7">
        <f t="shared" si="2"/>
        <v>0.01828471919895516</v>
      </c>
      <c r="F66" s="9">
        <v>354</v>
      </c>
      <c r="G66" s="7">
        <f t="shared" si="3"/>
        <v>0.012072846326989973</v>
      </c>
      <c r="H66" s="5">
        <f t="shared" si="0"/>
        <v>0.02563702709541665</v>
      </c>
      <c r="I66" s="10">
        <f t="shared" si="4"/>
        <v>0.09234591531838018</v>
      </c>
      <c r="J66" s="109">
        <f t="shared" si="5"/>
        <v>17549.568160131843</v>
      </c>
    </row>
    <row r="67" spans="1:10" ht="12.75" outlineLevel="1">
      <c r="A67" s="92" t="s">
        <v>268</v>
      </c>
      <c r="B67" s="9">
        <v>14</v>
      </c>
      <c r="C67" s="7">
        <f t="shared" si="1"/>
        <v>0.000969864911673017</v>
      </c>
      <c r="D67" s="9">
        <f>4+3</f>
        <v>7</v>
      </c>
      <c r="E67" s="7">
        <f t="shared" si="2"/>
        <v>0.0015237265999129299</v>
      </c>
      <c r="F67" s="9">
        <v>12</v>
      </c>
      <c r="G67" s="7">
        <f t="shared" si="3"/>
        <v>0.0004092490280335584</v>
      </c>
      <c r="H67" s="5">
        <f t="shared" si="0"/>
        <v>0.0009676135132065019</v>
      </c>
      <c r="I67" s="10">
        <f t="shared" si="4"/>
        <v>0.0034853945903681924</v>
      </c>
      <c r="J67" s="109">
        <f t="shared" si="5"/>
        <v>662.3700649642801</v>
      </c>
    </row>
    <row r="68" spans="1:10" ht="12.75" outlineLevel="1">
      <c r="A68" s="92" t="s">
        <v>86</v>
      </c>
      <c r="B68" s="9"/>
      <c r="C68" s="7">
        <f t="shared" si="1"/>
        <v>0</v>
      </c>
      <c r="D68" s="9"/>
      <c r="E68" s="7">
        <f t="shared" si="2"/>
        <v>0</v>
      </c>
      <c r="F68" s="9">
        <v>109</v>
      </c>
      <c r="G68" s="7">
        <f t="shared" si="3"/>
        <v>0.003717345337971489</v>
      </c>
      <c r="H68" s="5">
        <f t="shared" si="0"/>
        <v>0.001239115112657163</v>
      </c>
      <c r="I68" s="10">
        <f t="shared" si="4"/>
        <v>0.004463357581878931</v>
      </c>
      <c r="J68" s="109">
        <f t="shared" si="5"/>
        <v>848.2237447771014</v>
      </c>
    </row>
    <row r="69" spans="1:10" ht="12.75" outlineLevel="1">
      <c r="A69" s="92" t="s">
        <v>260</v>
      </c>
      <c r="B69" s="9">
        <f>1+451</f>
        <v>452</v>
      </c>
      <c r="C69" s="7">
        <f t="shared" si="1"/>
        <v>0.03131278143401455</v>
      </c>
      <c r="D69" s="9">
        <f>9+5+15+4+2</f>
        <v>35</v>
      </c>
      <c r="E69" s="7">
        <f t="shared" si="2"/>
        <v>0.007618632999564649</v>
      </c>
      <c r="F69" s="9">
        <v>111</v>
      </c>
      <c r="G69" s="7">
        <f t="shared" si="3"/>
        <v>0.0037855535093104156</v>
      </c>
      <c r="H69" s="5">
        <f t="shared" si="0"/>
        <v>0.014238989314296539</v>
      </c>
      <c r="I69" s="10">
        <f t="shared" si="4"/>
        <v>0.05128958582223547</v>
      </c>
      <c r="J69" s="109">
        <f t="shared" si="5"/>
        <v>9747.156430135017</v>
      </c>
    </row>
    <row r="70" spans="1:10" ht="12.75" outlineLevel="1">
      <c r="A70" s="92" t="s">
        <v>89</v>
      </c>
      <c r="B70" s="9">
        <f>319+1</f>
        <v>320</v>
      </c>
      <c r="C70" s="7">
        <f t="shared" si="1"/>
        <v>0.02216834083824039</v>
      </c>
      <c r="D70" s="9">
        <f>2+1+8+5+58+4+2+2+2</f>
        <v>84</v>
      </c>
      <c r="E70" s="7">
        <f t="shared" si="2"/>
        <v>0.01828471919895516</v>
      </c>
      <c r="F70" s="9">
        <v>233</v>
      </c>
      <c r="G70" s="7">
        <f t="shared" si="3"/>
        <v>0.007946251960984927</v>
      </c>
      <c r="H70" s="5">
        <f t="shared" si="0"/>
        <v>0.01613310399939349</v>
      </c>
      <c r="I70" s="10">
        <f t="shared" si="4"/>
        <v>0.05811228619471877</v>
      </c>
      <c r="J70" s="109">
        <f t="shared" si="5"/>
        <v>11043.75352173611</v>
      </c>
    </row>
    <row r="71" spans="1:10" ht="12.75" outlineLevel="1">
      <c r="A71" s="92" t="s">
        <v>243</v>
      </c>
      <c r="B71" s="9"/>
      <c r="C71" s="7">
        <f t="shared" si="1"/>
        <v>0</v>
      </c>
      <c r="D71" s="9"/>
      <c r="E71" s="7">
        <f t="shared" si="2"/>
        <v>0</v>
      </c>
      <c r="F71" s="9">
        <v>4</v>
      </c>
      <c r="G71" s="7">
        <f t="shared" si="3"/>
        <v>0.0001364163426778528</v>
      </c>
      <c r="H71" s="5">
        <f t="shared" si="0"/>
        <v>4.547211422595093E-05</v>
      </c>
      <c r="I71" s="10">
        <f t="shared" si="4"/>
        <v>0.0001637929387845479</v>
      </c>
      <c r="J71" s="109">
        <f t="shared" si="5"/>
        <v>31.127476872554176</v>
      </c>
    </row>
    <row r="72" spans="1:10" ht="12.75" outlineLevel="1">
      <c r="A72" s="92" t="s">
        <v>91</v>
      </c>
      <c r="B72" s="9"/>
      <c r="C72" s="7">
        <f t="shared" si="1"/>
        <v>0</v>
      </c>
      <c r="D72" s="9">
        <v>1</v>
      </c>
      <c r="E72" s="7">
        <f t="shared" si="2"/>
        <v>0.00021767522855898998</v>
      </c>
      <c r="F72" s="9">
        <v>47</v>
      </c>
      <c r="G72" s="7">
        <f t="shared" si="3"/>
        <v>0.0016028920264647706</v>
      </c>
      <c r="H72" s="5">
        <f aca="true" t="shared" si="6" ref="H72:H95">+(C72+E72+G72)/3</f>
        <v>0.0006068557516745868</v>
      </c>
      <c r="I72" s="10">
        <f t="shared" si="4"/>
        <v>0.002185926224832528</v>
      </c>
      <c r="J72" s="109">
        <f t="shared" si="5"/>
        <v>415.41698020380863</v>
      </c>
    </row>
    <row r="73" spans="1:10" ht="12.75" outlineLevel="1">
      <c r="A73" s="92" t="s">
        <v>271</v>
      </c>
      <c r="B73" s="9"/>
      <c r="C73" s="7">
        <f aca="true" t="shared" si="7" ref="C73:C95">B73/14435</f>
        <v>0</v>
      </c>
      <c r="D73" s="9"/>
      <c r="E73" s="7">
        <f aca="true" t="shared" si="8" ref="E73:E95">D73/4594</f>
        <v>0</v>
      </c>
      <c r="F73" s="9">
        <v>2</v>
      </c>
      <c r="G73" s="7">
        <f aca="true" t="shared" si="9" ref="G73:G95">F73/29322</f>
        <v>6.82081713389264E-05</v>
      </c>
      <c r="H73" s="5">
        <f t="shared" si="6"/>
        <v>2.2736057112975465E-05</v>
      </c>
      <c r="I73" s="10">
        <f aca="true" t="shared" si="10" ref="I73:I95">H73/$H$96</f>
        <v>8.189646939227395E-05</v>
      </c>
      <c r="J73" s="109">
        <f aca="true" t="shared" si="11" ref="J73:J95">I73*$J$96</f>
        <v>15.563738436277088</v>
      </c>
    </row>
    <row r="74" spans="1:10" ht="12.75" outlineLevel="1">
      <c r="A74" s="92" t="s">
        <v>93</v>
      </c>
      <c r="B74" s="9">
        <v>77</v>
      </c>
      <c r="C74" s="7">
        <f t="shared" si="7"/>
        <v>0.005334257014201593</v>
      </c>
      <c r="D74" s="9">
        <v>10</v>
      </c>
      <c r="E74" s="7">
        <f t="shared" si="8"/>
        <v>0.0021767522855899</v>
      </c>
      <c r="F74" s="9">
        <v>51</v>
      </c>
      <c r="G74" s="7">
        <f t="shared" si="9"/>
        <v>0.0017393083691426233</v>
      </c>
      <c r="H74" s="5">
        <f t="shared" si="6"/>
        <v>0.0030834392229780387</v>
      </c>
      <c r="I74" s="10">
        <f t="shared" si="10"/>
        <v>0.011106709694331442</v>
      </c>
      <c r="J74" s="109">
        <f t="shared" si="11"/>
        <v>2110.7372009194974</v>
      </c>
    </row>
    <row r="75" spans="1:10" ht="12.75" outlineLevel="1">
      <c r="A75" s="92" t="s">
        <v>145</v>
      </c>
      <c r="B75" s="9"/>
      <c r="C75" s="7">
        <f t="shared" si="7"/>
        <v>0</v>
      </c>
      <c r="D75" s="9"/>
      <c r="E75" s="7">
        <f t="shared" si="8"/>
        <v>0</v>
      </c>
      <c r="F75" s="9">
        <v>22</v>
      </c>
      <c r="G75" s="7">
        <f t="shared" si="9"/>
        <v>0.0007502898847281905</v>
      </c>
      <c r="H75" s="5">
        <f t="shared" si="6"/>
        <v>0.00025009662824273014</v>
      </c>
      <c r="I75" s="10">
        <f t="shared" si="10"/>
        <v>0.0009008611633150135</v>
      </c>
      <c r="J75" s="109">
        <f t="shared" si="11"/>
        <v>171.201122799048</v>
      </c>
    </row>
    <row r="76" spans="1:10" ht="12.75" outlineLevel="1">
      <c r="A76" s="92" t="s">
        <v>239</v>
      </c>
      <c r="B76" s="9"/>
      <c r="C76" s="7">
        <f t="shared" si="7"/>
        <v>0</v>
      </c>
      <c r="D76" s="9"/>
      <c r="E76" s="7">
        <f t="shared" si="8"/>
        <v>0</v>
      </c>
      <c r="F76" s="9">
        <v>12</v>
      </c>
      <c r="G76" s="7">
        <f t="shared" si="9"/>
        <v>0.0004092490280335584</v>
      </c>
      <c r="H76" s="5">
        <f t="shared" si="6"/>
        <v>0.0001364163426778528</v>
      </c>
      <c r="I76" s="10">
        <f t="shared" si="10"/>
        <v>0.0004913788163536438</v>
      </c>
      <c r="J76" s="109">
        <f t="shared" si="11"/>
        <v>93.38243061766254</v>
      </c>
    </row>
    <row r="77" spans="1:10" ht="12.75" outlineLevel="1">
      <c r="A77" s="92" t="s">
        <v>190</v>
      </c>
      <c r="B77" s="9"/>
      <c r="C77" s="7">
        <f t="shared" si="7"/>
        <v>0</v>
      </c>
      <c r="D77" s="9">
        <v>2</v>
      </c>
      <c r="E77" s="7">
        <f t="shared" si="8"/>
        <v>0.00043535045711797995</v>
      </c>
      <c r="F77" s="9">
        <v>61</v>
      </c>
      <c r="G77" s="7">
        <f t="shared" si="9"/>
        <v>0.002080349225837255</v>
      </c>
      <c r="H77" s="5">
        <f t="shared" si="6"/>
        <v>0.0008385665609850784</v>
      </c>
      <c r="I77" s="10">
        <f t="shared" si="10"/>
        <v>0.0030205607046925355</v>
      </c>
      <c r="J77" s="109">
        <f t="shared" si="11"/>
        <v>574.0322762090452</v>
      </c>
    </row>
    <row r="78" spans="1:10" ht="12.75" outlineLevel="1">
      <c r="A78" s="92" t="s">
        <v>95</v>
      </c>
      <c r="B78" s="9">
        <v>9</v>
      </c>
      <c r="C78" s="7">
        <f t="shared" si="7"/>
        <v>0.0006234845860755109</v>
      </c>
      <c r="D78" s="9">
        <v>4</v>
      </c>
      <c r="E78" s="7">
        <f t="shared" si="8"/>
        <v>0.0008707009142359599</v>
      </c>
      <c r="F78" s="9">
        <v>20</v>
      </c>
      <c r="G78" s="7">
        <f t="shared" si="9"/>
        <v>0.0006820817133892641</v>
      </c>
      <c r="H78" s="5">
        <f t="shared" si="6"/>
        <v>0.0007254224045669116</v>
      </c>
      <c r="I78" s="10">
        <f t="shared" si="10"/>
        <v>0.0026130095230179045</v>
      </c>
      <c r="J78" s="109">
        <f t="shared" si="11"/>
        <v>496.58058582423365</v>
      </c>
    </row>
    <row r="79" spans="1:10" ht="12.75" outlineLevel="1">
      <c r="A79" s="92" t="s">
        <v>186</v>
      </c>
      <c r="B79" s="9"/>
      <c r="C79" s="7">
        <f t="shared" si="7"/>
        <v>0</v>
      </c>
      <c r="D79" s="9">
        <v>2</v>
      </c>
      <c r="E79" s="7">
        <f t="shared" si="8"/>
        <v>0.00043535045711797995</v>
      </c>
      <c r="F79" s="9">
        <v>52</v>
      </c>
      <c r="G79" s="7">
        <f t="shared" si="9"/>
        <v>0.0017734124548120865</v>
      </c>
      <c r="H79" s="5">
        <f t="shared" si="6"/>
        <v>0.0007362543039766889</v>
      </c>
      <c r="I79" s="10">
        <f t="shared" si="10"/>
        <v>0.0026520265924273026</v>
      </c>
      <c r="J79" s="109">
        <f t="shared" si="11"/>
        <v>503.99545324579833</v>
      </c>
    </row>
    <row r="80" spans="1:10" ht="12.75" outlineLevel="1">
      <c r="A80" s="92" t="s">
        <v>98</v>
      </c>
      <c r="B80" s="9"/>
      <c r="C80" s="7">
        <f t="shared" si="7"/>
        <v>0</v>
      </c>
      <c r="D80" s="9"/>
      <c r="E80" s="7">
        <f t="shared" si="8"/>
        <v>0</v>
      </c>
      <c r="F80" s="9">
        <v>31</v>
      </c>
      <c r="G80" s="7">
        <f t="shared" si="9"/>
        <v>0.0010572266557533593</v>
      </c>
      <c r="H80" s="5">
        <f t="shared" si="6"/>
        <v>0.00035240888525111977</v>
      </c>
      <c r="I80" s="10">
        <f t="shared" si="10"/>
        <v>0.0012693952755802465</v>
      </c>
      <c r="J80" s="109">
        <f t="shared" si="11"/>
        <v>241.2379457622949</v>
      </c>
    </row>
    <row r="81" spans="1:10" ht="12.75" outlineLevel="1">
      <c r="A81" s="92" t="s">
        <v>99</v>
      </c>
      <c r="B81" s="9">
        <f>171+1</f>
        <v>172</v>
      </c>
      <c r="C81" s="7">
        <f t="shared" si="7"/>
        <v>0.011915483200554208</v>
      </c>
      <c r="D81" s="9">
        <v>13</v>
      </c>
      <c r="E81" s="7">
        <f t="shared" si="8"/>
        <v>0.0028297779712668698</v>
      </c>
      <c r="F81" s="9">
        <v>66</v>
      </c>
      <c r="G81" s="7">
        <f t="shared" si="9"/>
        <v>0.0022508696541845715</v>
      </c>
      <c r="H81" s="5">
        <f t="shared" si="6"/>
        <v>0.0056653769420018825</v>
      </c>
      <c r="I81" s="10">
        <f t="shared" si="10"/>
        <v>0.02040698468608093</v>
      </c>
      <c r="J81" s="109">
        <f t="shared" si="11"/>
        <v>3878.176608639477</v>
      </c>
    </row>
    <row r="82" spans="1:10" ht="12.75" outlineLevel="1">
      <c r="A82" s="92" t="s">
        <v>100</v>
      </c>
      <c r="B82" s="9">
        <v>3</v>
      </c>
      <c r="C82" s="7">
        <f t="shared" si="7"/>
        <v>0.00020782819535850364</v>
      </c>
      <c r="D82" s="9"/>
      <c r="E82" s="7">
        <f t="shared" si="8"/>
        <v>0</v>
      </c>
      <c r="F82" s="9">
        <v>7</v>
      </c>
      <c r="G82" s="7">
        <f t="shared" si="9"/>
        <v>0.0002387285996862424</v>
      </c>
      <c r="H82" s="5">
        <f t="shared" si="6"/>
        <v>0.00014885226501491536</v>
      </c>
      <c r="I82" s="10">
        <f t="shared" si="10"/>
        <v>0.0005361736604192274</v>
      </c>
      <c r="J82" s="109">
        <f t="shared" si="11"/>
        <v>101.89531574572807</v>
      </c>
    </row>
    <row r="83" spans="1:10" ht="12.75" outlineLevel="1">
      <c r="A83" s="92" t="s">
        <v>140</v>
      </c>
      <c r="B83" s="9"/>
      <c r="C83" s="7">
        <f t="shared" si="7"/>
        <v>0</v>
      </c>
      <c r="D83" s="9">
        <v>6</v>
      </c>
      <c r="E83" s="7">
        <f t="shared" si="8"/>
        <v>0.00130605137135394</v>
      </c>
      <c r="F83" s="9">
        <v>47</v>
      </c>
      <c r="G83" s="7">
        <f t="shared" si="9"/>
        <v>0.0016028920264647706</v>
      </c>
      <c r="H83" s="5">
        <f t="shared" si="6"/>
        <v>0.0009696477992729035</v>
      </c>
      <c r="I83" s="10">
        <f t="shared" si="10"/>
        <v>0.003492722195402977</v>
      </c>
      <c r="J83" s="109">
        <f t="shared" si="11"/>
        <v>663.7626149602936</v>
      </c>
    </row>
    <row r="84" spans="1:10" ht="12.75" outlineLevel="1">
      <c r="A84" s="92" t="s">
        <v>102</v>
      </c>
      <c r="B84" s="9">
        <v>56</v>
      </c>
      <c r="C84" s="7">
        <f t="shared" si="7"/>
        <v>0.003879459646692068</v>
      </c>
      <c r="D84" s="9">
        <v>15</v>
      </c>
      <c r="E84" s="7">
        <f t="shared" si="8"/>
        <v>0.0032651284283848497</v>
      </c>
      <c r="F84" s="9">
        <v>100</v>
      </c>
      <c r="G84" s="7">
        <f t="shared" si="9"/>
        <v>0.0034104085669463204</v>
      </c>
      <c r="H84" s="5">
        <f t="shared" si="6"/>
        <v>0.003518332214007746</v>
      </c>
      <c r="I84" s="10">
        <f t="shared" si="10"/>
        <v>0.012673217042188724</v>
      </c>
      <c r="J84" s="109">
        <f t="shared" si="11"/>
        <v>2408.4388088334636</v>
      </c>
    </row>
    <row r="85" spans="1:10" ht="12.75" outlineLevel="1">
      <c r="A85" s="92" t="s">
        <v>206</v>
      </c>
      <c r="B85" s="9"/>
      <c r="C85" s="7">
        <f t="shared" si="7"/>
        <v>0</v>
      </c>
      <c r="D85" s="9"/>
      <c r="E85" s="7">
        <f t="shared" si="8"/>
        <v>0</v>
      </c>
      <c r="F85" s="9">
        <v>39</v>
      </c>
      <c r="G85" s="7">
        <f t="shared" si="9"/>
        <v>0.0013300593411090648</v>
      </c>
      <c r="H85" s="5">
        <f t="shared" si="6"/>
        <v>0.0004433531137030216</v>
      </c>
      <c r="I85" s="10">
        <f t="shared" si="10"/>
        <v>0.0015969811531493423</v>
      </c>
      <c r="J85" s="109">
        <f t="shared" si="11"/>
        <v>303.49289950740325</v>
      </c>
    </row>
    <row r="86" spans="1:10" ht="12.75" outlineLevel="1">
      <c r="A86" s="92" t="s">
        <v>104</v>
      </c>
      <c r="B86" s="9"/>
      <c r="C86" s="7">
        <f t="shared" si="7"/>
        <v>0</v>
      </c>
      <c r="D86" s="9">
        <v>1</v>
      </c>
      <c r="E86" s="7">
        <f t="shared" si="8"/>
        <v>0.00021767522855898998</v>
      </c>
      <c r="F86" s="9">
        <v>135</v>
      </c>
      <c r="G86" s="7">
        <f t="shared" si="9"/>
        <v>0.004604051565377533</v>
      </c>
      <c r="H86" s="5">
        <f t="shared" si="6"/>
        <v>0.0016072422646455076</v>
      </c>
      <c r="I86" s="10">
        <f t="shared" si="10"/>
        <v>0.005789370878092583</v>
      </c>
      <c r="J86" s="109">
        <f t="shared" si="11"/>
        <v>1100.2214714000008</v>
      </c>
    </row>
    <row r="87" spans="1:10" ht="12.75" outlineLevel="1">
      <c r="A87" s="92" t="s">
        <v>105</v>
      </c>
      <c r="B87" s="9"/>
      <c r="C87" s="7">
        <f t="shared" si="7"/>
        <v>0</v>
      </c>
      <c r="D87" s="9"/>
      <c r="E87" s="7">
        <f t="shared" si="8"/>
        <v>0</v>
      </c>
      <c r="F87" s="9">
        <v>85</v>
      </c>
      <c r="G87" s="7">
        <f t="shared" si="9"/>
        <v>0.002898847281904372</v>
      </c>
      <c r="H87" s="5">
        <f t="shared" si="6"/>
        <v>0.0009662824273014574</v>
      </c>
      <c r="I87" s="10">
        <f t="shared" si="10"/>
        <v>0.0034805999491716436</v>
      </c>
      <c r="J87" s="109">
        <f t="shared" si="11"/>
        <v>661.4588835417763</v>
      </c>
    </row>
    <row r="88" spans="1:10" ht="12.75" outlineLevel="1">
      <c r="A88" s="92" t="s">
        <v>108</v>
      </c>
      <c r="B88" s="9">
        <v>484</v>
      </c>
      <c r="C88" s="7">
        <f t="shared" si="7"/>
        <v>0.03352961551783859</v>
      </c>
      <c r="D88" s="9">
        <f>3+4+3+3+4+3+3+3+3+4+3+3</f>
        <v>39</v>
      </c>
      <c r="E88" s="7">
        <f t="shared" si="8"/>
        <v>0.00848933391380061</v>
      </c>
      <c r="F88" s="9">
        <v>139</v>
      </c>
      <c r="G88" s="7">
        <f t="shared" si="9"/>
        <v>0.004740467908055385</v>
      </c>
      <c r="H88" s="5">
        <f t="shared" si="6"/>
        <v>0.01558647244656486</v>
      </c>
      <c r="I88" s="10">
        <f t="shared" si="10"/>
        <v>0.056143290690677194</v>
      </c>
      <c r="J88" s="109">
        <f t="shared" si="11"/>
        <v>10669.56240904817</v>
      </c>
    </row>
    <row r="89" spans="1:10" ht="12.75" outlineLevel="1">
      <c r="A89" s="92" t="s">
        <v>248</v>
      </c>
      <c r="B89" s="9">
        <f>1+1</f>
        <v>2</v>
      </c>
      <c r="C89" s="7">
        <f t="shared" si="7"/>
        <v>0.00013855213023900243</v>
      </c>
      <c r="D89" s="9"/>
      <c r="E89" s="7">
        <f t="shared" si="8"/>
        <v>0</v>
      </c>
      <c r="F89" s="9">
        <v>2</v>
      </c>
      <c r="G89" s="7">
        <f t="shared" si="9"/>
        <v>6.82081713389264E-05</v>
      </c>
      <c r="H89" s="5">
        <f t="shared" si="6"/>
        <v>6.892010052597627E-05</v>
      </c>
      <c r="I89" s="10">
        <f t="shared" si="10"/>
        <v>0.0002482538144231196</v>
      </c>
      <c r="J89" s="109">
        <f t="shared" si="11"/>
        <v>47.17855924878258</v>
      </c>
    </row>
    <row r="90" spans="1:10" ht="12.75" outlineLevel="1">
      <c r="A90" s="92" t="s">
        <v>110</v>
      </c>
      <c r="B90" s="9">
        <f>144+1</f>
        <v>145</v>
      </c>
      <c r="C90" s="7">
        <f t="shared" si="7"/>
        <v>0.010045029442327675</v>
      </c>
      <c r="D90" s="9"/>
      <c r="E90" s="7">
        <f t="shared" si="8"/>
        <v>0</v>
      </c>
      <c r="F90" s="9">
        <v>683</v>
      </c>
      <c r="G90" s="7">
        <f t="shared" si="9"/>
        <v>0.023293090512243368</v>
      </c>
      <c r="H90" s="5">
        <f t="shared" si="6"/>
        <v>0.011112706651523682</v>
      </c>
      <c r="I90" s="10">
        <f t="shared" si="10"/>
        <v>0.040028551812197874</v>
      </c>
      <c r="J90" s="109">
        <f t="shared" si="11"/>
        <v>7607.091184895276</v>
      </c>
    </row>
    <row r="91" spans="1:10" ht="12.75" outlineLevel="1">
      <c r="A91" s="92" t="s">
        <v>142</v>
      </c>
      <c r="B91" s="9">
        <f>1+1</f>
        <v>2</v>
      </c>
      <c r="C91" s="7">
        <f t="shared" si="7"/>
        <v>0.00013855213023900243</v>
      </c>
      <c r="D91" s="9">
        <f>1+1+1+1+3+1+1+2+2+6+1</f>
        <v>20</v>
      </c>
      <c r="E91" s="7">
        <f t="shared" si="8"/>
        <v>0.0043535045711798</v>
      </c>
      <c r="F91" s="9">
        <v>49</v>
      </c>
      <c r="G91" s="7">
        <f t="shared" si="9"/>
        <v>0.0016711001978036968</v>
      </c>
      <c r="H91" s="5">
        <f t="shared" si="6"/>
        <v>0.0020543856330741666</v>
      </c>
      <c r="I91" s="10">
        <f t="shared" si="10"/>
        <v>0.007400004727423355</v>
      </c>
      <c r="J91" s="109">
        <f t="shared" si="11"/>
        <v>1406.3089515272345</v>
      </c>
    </row>
    <row r="92" spans="1:10" ht="12.75" outlineLevel="1">
      <c r="A92" s="92" t="s">
        <v>207</v>
      </c>
      <c r="B92" s="9">
        <f>467+10</f>
        <v>477</v>
      </c>
      <c r="C92" s="7">
        <f t="shared" si="7"/>
        <v>0.033044683062002075</v>
      </c>
      <c r="D92" s="9">
        <f>85+1</f>
        <v>86</v>
      </c>
      <c r="E92" s="7">
        <f t="shared" si="8"/>
        <v>0.01872006965607314</v>
      </c>
      <c r="F92" s="9">
        <v>279</v>
      </c>
      <c r="G92" s="7">
        <f t="shared" si="9"/>
        <v>0.009515039901780233</v>
      </c>
      <c r="H92" s="5">
        <f t="shared" si="6"/>
        <v>0.020426597539951814</v>
      </c>
      <c r="I92" s="10">
        <f t="shared" si="10"/>
        <v>0.07357767496389062</v>
      </c>
      <c r="J92" s="109">
        <f t="shared" si="11"/>
        <v>13982.821193454754</v>
      </c>
    </row>
    <row r="93" spans="1:10" ht="12.75" outlineLevel="1">
      <c r="A93" s="92" t="s">
        <v>247</v>
      </c>
      <c r="B93" s="9"/>
      <c r="C93" s="7">
        <f t="shared" si="7"/>
        <v>0</v>
      </c>
      <c r="D93" s="9"/>
      <c r="E93" s="7">
        <f t="shared" si="8"/>
        <v>0</v>
      </c>
      <c r="F93" s="9">
        <v>11</v>
      </c>
      <c r="G93" s="7">
        <f t="shared" si="9"/>
        <v>0.00037514494236409523</v>
      </c>
      <c r="H93" s="5">
        <f t="shared" si="6"/>
        <v>0.00012504831412136507</v>
      </c>
      <c r="I93" s="10">
        <f t="shared" si="10"/>
        <v>0.00045043058165750676</v>
      </c>
      <c r="J93" s="109">
        <f t="shared" si="11"/>
        <v>85.600561399524</v>
      </c>
    </row>
    <row r="94" spans="1:10" ht="12.75" outlineLevel="1">
      <c r="A94" s="92" t="s">
        <v>116</v>
      </c>
      <c r="B94" s="9"/>
      <c r="C94" s="7">
        <f t="shared" si="7"/>
        <v>0</v>
      </c>
      <c r="D94" s="9"/>
      <c r="E94" s="7">
        <f t="shared" si="8"/>
        <v>0</v>
      </c>
      <c r="F94" s="9">
        <v>15</v>
      </c>
      <c r="G94" s="7">
        <f t="shared" si="9"/>
        <v>0.0005115612850419481</v>
      </c>
      <c r="H94" s="5">
        <f t="shared" si="6"/>
        <v>0.00017052042834731602</v>
      </c>
      <c r="I94" s="10">
        <f t="shared" si="10"/>
        <v>0.0006142235204420548</v>
      </c>
      <c r="J94" s="109">
        <f t="shared" si="11"/>
        <v>116.7280382720782</v>
      </c>
    </row>
    <row r="95" spans="1:10" ht="13.5" outlineLevel="1" thickBot="1">
      <c r="A95" s="92" t="s">
        <v>231</v>
      </c>
      <c r="B95" s="9"/>
      <c r="C95" s="7">
        <f t="shared" si="7"/>
        <v>0</v>
      </c>
      <c r="D95" s="9">
        <f>3+5+3</f>
        <v>11</v>
      </c>
      <c r="E95" s="7">
        <f t="shared" si="8"/>
        <v>0.00239442751414889</v>
      </c>
      <c r="F95" s="9">
        <v>15</v>
      </c>
      <c r="G95" s="7">
        <f t="shared" si="9"/>
        <v>0.0005115612850419481</v>
      </c>
      <c r="H95" s="5">
        <f t="shared" si="6"/>
        <v>0.0009686629330636127</v>
      </c>
      <c r="I95" s="10">
        <f t="shared" si="10"/>
        <v>0.003489174655697043</v>
      </c>
      <c r="J95" s="109">
        <f t="shared" si="11"/>
        <v>663.0884347363452</v>
      </c>
    </row>
    <row r="96" spans="1:10" ht="13.5" thickBot="1">
      <c r="A96" s="128" t="s">
        <v>195</v>
      </c>
      <c r="B96" s="122">
        <f>SUM(B7:B95)</f>
        <v>5966</v>
      </c>
      <c r="C96" s="123">
        <f>SUM(C8:C95)</f>
        <v>0.4133010045029442</v>
      </c>
      <c r="D96" s="122">
        <f>SUM(D7:D95)</f>
        <v>1012</v>
      </c>
      <c r="E96" s="123">
        <f>SUM(E8:E95)</f>
        <v>0.22028733130169792</v>
      </c>
      <c r="F96" s="122">
        <f>SUM(F7:F95)</f>
        <v>5843</v>
      </c>
      <c r="G96" s="123">
        <f>SUM(G8:G95)</f>
        <v>0.1992701725666735</v>
      </c>
      <c r="H96" s="123">
        <f>SUM(H8:H95)</f>
        <v>0.27761950279043857</v>
      </c>
      <c r="I96" s="119">
        <f>ROUND(H96,4)</f>
        <v>0.2776</v>
      </c>
      <c r="J96" s="120">
        <f>'FY09-FY08 Comparison'!K15</f>
        <v>190041.6288</v>
      </c>
    </row>
  </sheetData>
  <mergeCells count="4">
    <mergeCell ref="I5:J5"/>
    <mergeCell ref="I1:J2"/>
    <mergeCell ref="I3:J3"/>
    <mergeCell ref="I4:J4"/>
  </mergeCells>
  <printOptions/>
  <pageMargins left="0.75" right="0.7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36.28125" style="0" bestFit="1" customWidth="1"/>
    <col min="2" max="8" width="0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323</v>
      </c>
      <c r="J4" s="157"/>
    </row>
    <row r="5" spans="1:10" ht="13.5" thickBot="1">
      <c r="A5" s="94" t="s">
        <v>36</v>
      </c>
      <c r="B5" s="8" t="s">
        <v>3</v>
      </c>
      <c r="C5" s="7" t="s">
        <v>152</v>
      </c>
      <c r="D5" s="8" t="s">
        <v>118</v>
      </c>
      <c r="E5" s="7" t="s">
        <v>152</v>
      </c>
      <c r="F5" s="8" t="s">
        <v>163</v>
      </c>
      <c r="G5" s="7" t="s">
        <v>152</v>
      </c>
      <c r="H5" s="5" t="s">
        <v>201</v>
      </c>
      <c r="I5" s="148">
        <f>SUM(J8:J12)</f>
        <v>4860.5748</v>
      </c>
      <c r="J5" s="149"/>
    </row>
    <row r="6" spans="1:10" ht="12.75">
      <c r="A6" s="114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5"/>
      <c r="I7" s="16"/>
      <c r="J7" s="108"/>
    </row>
    <row r="8" spans="1:10" ht="12.75" outlineLevel="1">
      <c r="A8" s="92" t="s">
        <v>37</v>
      </c>
      <c r="B8" s="9">
        <f>10+1</f>
        <v>11</v>
      </c>
      <c r="C8" s="7">
        <f>B8/14435</f>
        <v>0.0007620367163145134</v>
      </c>
      <c r="D8" s="9">
        <f>3+10</f>
        <v>13</v>
      </c>
      <c r="E8" s="7">
        <f>D8/4594</f>
        <v>0.0028297779712668698</v>
      </c>
      <c r="F8" s="9">
        <v>46</v>
      </c>
      <c r="G8" s="7">
        <f>F8/29322</f>
        <v>0.0015687879407953072</v>
      </c>
      <c r="H8" s="5">
        <f>+(C8+E8+G8)/3</f>
        <v>0.0017202008761255634</v>
      </c>
      <c r="I8" s="10">
        <f>H8/$H$13</f>
        <v>0.24334230576000698</v>
      </c>
      <c r="J8" s="109">
        <f>I8*$J$13</f>
        <v>1182.783479150985</v>
      </c>
    </row>
    <row r="9" spans="1:10" ht="12.75" outlineLevel="1">
      <c r="A9" s="92" t="s">
        <v>5</v>
      </c>
      <c r="B9" s="9"/>
      <c r="C9" s="7">
        <f>B9/14435</f>
        <v>0</v>
      </c>
      <c r="D9" s="9">
        <f>7</f>
        <v>7</v>
      </c>
      <c r="E9" s="7">
        <f>D9/4594</f>
        <v>0.0015237265999129299</v>
      </c>
      <c r="F9" s="9">
        <v>44</v>
      </c>
      <c r="G9" s="7">
        <f>F9/29322</f>
        <v>0.001500579769456381</v>
      </c>
      <c r="H9" s="5">
        <f>+(C9+E9+G9)/3</f>
        <v>0.0010081021231231036</v>
      </c>
      <c r="I9" s="10">
        <f>H9/$H$13</f>
        <v>0.1426077026741545</v>
      </c>
      <c r="J9" s="109">
        <f>I9*$J$13</f>
        <v>693.1554059038881</v>
      </c>
    </row>
    <row r="10" spans="1:10" ht="12.75" outlineLevel="1">
      <c r="A10" s="92" t="s">
        <v>33</v>
      </c>
      <c r="B10" s="9">
        <f>1+1</f>
        <v>2</v>
      </c>
      <c r="C10" s="7">
        <f>B10/14435</f>
        <v>0.00013855213023900243</v>
      </c>
      <c r="D10" s="9">
        <f>15+11</f>
        <v>26</v>
      </c>
      <c r="E10" s="7">
        <f>D10/4594</f>
        <v>0.0056595559425337396</v>
      </c>
      <c r="F10" s="9">
        <v>135</v>
      </c>
      <c r="G10" s="7">
        <f>F10/29322</f>
        <v>0.004604051565377533</v>
      </c>
      <c r="H10" s="5">
        <f>+(C10+E10+G10)/3</f>
        <v>0.0034673865460500917</v>
      </c>
      <c r="I10" s="10">
        <f>H10/$H$13</f>
        <v>0.4905019226460775</v>
      </c>
      <c r="J10" s="109">
        <f>I10*$J$13</f>
        <v>2384.121284565074</v>
      </c>
    </row>
    <row r="11" spans="1:10" ht="12.75" outlineLevel="1">
      <c r="A11" s="92" t="s">
        <v>285</v>
      </c>
      <c r="B11" s="9"/>
      <c r="C11" s="7">
        <f>B11/14435</f>
        <v>0</v>
      </c>
      <c r="D11" s="9">
        <f>10</f>
        <v>10</v>
      </c>
      <c r="E11" s="7">
        <f>D11/4594</f>
        <v>0.0021767522855899</v>
      </c>
      <c r="F11" s="9">
        <v>10</v>
      </c>
      <c r="G11" s="7">
        <f>F11/29322</f>
        <v>0.00034104085669463204</v>
      </c>
      <c r="H11" s="5">
        <f>+(C11+E11+G11)/3</f>
        <v>0.0008392643807615107</v>
      </c>
      <c r="I11" s="10">
        <f>H11/$H$13</f>
        <v>0.11872365163348696</v>
      </c>
      <c r="J11" s="109">
        <f>I11*$J$13</f>
        <v>577.0651892937055</v>
      </c>
    </row>
    <row r="12" spans="1:10" ht="13.5" outlineLevel="1" thickBot="1">
      <c r="A12" s="92" t="s">
        <v>138</v>
      </c>
      <c r="B12" s="9"/>
      <c r="C12" s="7">
        <f>B12/14435</f>
        <v>0</v>
      </c>
      <c r="D12" s="9"/>
      <c r="E12" s="7">
        <f>D12/4594</f>
        <v>0</v>
      </c>
      <c r="F12" s="9">
        <v>3</v>
      </c>
      <c r="G12" s="7">
        <f>F12/29322</f>
        <v>0.0001023122570083896</v>
      </c>
      <c r="H12" s="5">
        <f>+(C12+E12+G12)/3</f>
        <v>3.41040856694632E-05</v>
      </c>
      <c r="I12" s="10">
        <f>H12/$H$13</f>
        <v>0.00482441728627408</v>
      </c>
      <c r="J12" s="109">
        <f>I12*$J$13</f>
        <v>23.44944108634818</v>
      </c>
    </row>
    <row r="13" spans="1:10" ht="13.5" thickBot="1">
      <c r="A13" s="128" t="s">
        <v>196</v>
      </c>
      <c r="B13" s="122">
        <f aca="true" t="shared" si="0" ref="B13:I13">SUM(B8:B12)</f>
        <v>13</v>
      </c>
      <c r="C13" s="123">
        <f t="shared" si="0"/>
        <v>0.0009005888465535158</v>
      </c>
      <c r="D13" s="122">
        <f t="shared" si="0"/>
        <v>56</v>
      </c>
      <c r="E13" s="123">
        <f t="shared" si="0"/>
        <v>0.012189812799303439</v>
      </c>
      <c r="F13" s="122">
        <f t="shared" si="0"/>
        <v>238</v>
      </c>
      <c r="G13" s="123">
        <f t="shared" si="0"/>
        <v>0.008116772389332241</v>
      </c>
      <c r="H13" s="123">
        <f t="shared" si="0"/>
        <v>0.007069058011729732</v>
      </c>
      <c r="I13" s="119">
        <f t="shared" si="0"/>
        <v>1</v>
      </c>
      <c r="J13" s="120">
        <f>'FY09-FY08 Comparison'!K17</f>
        <v>4860.5748</v>
      </c>
    </row>
  </sheetData>
  <mergeCells count="4">
    <mergeCell ref="I4:J4"/>
    <mergeCell ref="I5:J5"/>
    <mergeCell ref="I1:J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42.8515625" style="0" bestFit="1" customWidth="1"/>
    <col min="2" max="8" width="0" style="0" hidden="1" customWidth="1" outlineLevel="1"/>
    <col min="9" max="9" width="12.7109375" style="0" customWidth="1" collapsed="1"/>
    <col min="10" max="10" width="12.7109375" style="0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324</v>
      </c>
      <c r="J4" s="157"/>
    </row>
    <row r="5" spans="1:10" ht="13.5" thickBot="1">
      <c r="A5" s="94" t="s">
        <v>12</v>
      </c>
      <c r="B5" s="101" t="s">
        <v>3</v>
      </c>
      <c r="C5" s="102" t="s">
        <v>152</v>
      </c>
      <c r="D5" s="101" t="s">
        <v>118</v>
      </c>
      <c r="E5" s="102" t="s">
        <v>152</v>
      </c>
      <c r="F5" s="101" t="s">
        <v>163</v>
      </c>
      <c r="G5" s="102" t="s">
        <v>152</v>
      </c>
      <c r="H5" s="104" t="s">
        <v>201</v>
      </c>
      <c r="I5" s="148">
        <f>SUM(J8:J16)</f>
        <v>21222.228</v>
      </c>
      <c r="J5" s="149"/>
    </row>
    <row r="6" spans="1:10" ht="12.75">
      <c r="A6" s="114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169</v>
      </c>
      <c r="B8" s="9"/>
      <c r="C8" s="7">
        <f>B8/14435</f>
        <v>0</v>
      </c>
      <c r="D8" s="9">
        <f>2+12+1+14</f>
        <v>29</v>
      </c>
      <c r="E8" s="7">
        <f>D8/4594</f>
        <v>0.006312581628210709</v>
      </c>
      <c r="F8" s="9">
        <v>33</v>
      </c>
      <c r="G8" s="7">
        <f>F8/29322</f>
        <v>0.0011254348270922857</v>
      </c>
      <c r="H8" s="5">
        <f aca="true" t="shared" si="0" ref="H8:H15">+(C8+E8+G8)/3</f>
        <v>0.002479338818434332</v>
      </c>
      <c r="I8" s="10">
        <f>H8/$H$17</f>
        <v>0.08003765883780951</v>
      </c>
      <c r="J8" s="109">
        <f>I8*$J$17</f>
        <v>1698.5774444422084</v>
      </c>
    </row>
    <row r="9" spans="1:10" ht="12.75" outlineLevel="1">
      <c r="A9" s="92" t="s">
        <v>192</v>
      </c>
      <c r="B9" s="9"/>
      <c r="C9" s="7">
        <f aca="true" t="shared" si="1" ref="C9:C16">B9/14435</f>
        <v>0</v>
      </c>
      <c r="D9" s="9"/>
      <c r="E9" s="7">
        <f aca="true" t="shared" si="2" ref="E9:E16">D9/4594</f>
        <v>0</v>
      </c>
      <c r="F9" s="9">
        <v>47</v>
      </c>
      <c r="G9" s="7">
        <f aca="true" t="shared" si="3" ref="G9:G16">F9/29322</f>
        <v>0.0016028920264647706</v>
      </c>
      <c r="H9" s="5">
        <f t="shared" si="0"/>
        <v>0.0005342973421549235</v>
      </c>
      <c r="I9" s="10">
        <f aca="true" t="shared" si="4" ref="I9:I16">H9/$H$17</f>
        <v>0.0172481098877599</v>
      </c>
      <c r="J9" s="109">
        <f aca="true" t="shared" si="5" ref="J9:J16">I9*$J$17</f>
        <v>366.04332060709504</v>
      </c>
    </row>
    <row r="10" spans="1:10" ht="12.75" outlineLevel="1">
      <c r="A10" s="92" t="s">
        <v>13</v>
      </c>
      <c r="B10" s="9">
        <f>2+2</f>
        <v>4</v>
      </c>
      <c r="C10" s="7">
        <f t="shared" si="1"/>
        <v>0.00027710426047800486</v>
      </c>
      <c r="D10" s="9">
        <f>8+3+7+28</f>
        <v>46</v>
      </c>
      <c r="E10" s="7">
        <f t="shared" si="2"/>
        <v>0.01001306051371354</v>
      </c>
      <c r="F10" s="9">
        <v>15</v>
      </c>
      <c r="G10" s="7">
        <f t="shared" si="3"/>
        <v>0.0005115612850419481</v>
      </c>
      <c r="H10" s="5">
        <f t="shared" si="0"/>
        <v>0.003600575353077831</v>
      </c>
      <c r="I10" s="10">
        <f t="shared" si="4"/>
        <v>0.116233255248047</v>
      </c>
      <c r="J10" s="109">
        <f t="shared" si="5"/>
        <v>2466.72864405625</v>
      </c>
    </row>
    <row r="11" spans="1:10" ht="12.75" outlineLevel="1">
      <c r="A11" s="92" t="s">
        <v>189</v>
      </c>
      <c r="B11" s="9"/>
      <c r="C11" s="7">
        <f t="shared" si="1"/>
        <v>0</v>
      </c>
      <c r="D11" s="9"/>
      <c r="E11" s="7">
        <f t="shared" si="2"/>
        <v>0</v>
      </c>
      <c r="F11" s="9">
        <v>17</v>
      </c>
      <c r="G11" s="7">
        <f t="shared" si="3"/>
        <v>0.0005797694563808744</v>
      </c>
      <c r="H11" s="5">
        <f t="shared" si="0"/>
        <v>0.00019325648546029148</v>
      </c>
      <c r="I11" s="10">
        <f t="shared" si="4"/>
        <v>0.0062386780445089</v>
      </c>
      <c r="J11" s="109">
        <f t="shared" si="5"/>
        <v>132.398647879162</v>
      </c>
    </row>
    <row r="12" spans="1:10" ht="12.75" outlineLevel="1">
      <c r="A12" s="92" t="s">
        <v>286</v>
      </c>
      <c r="B12" s="9"/>
      <c r="C12" s="7">
        <f t="shared" si="1"/>
        <v>0</v>
      </c>
      <c r="D12" s="9">
        <f>38+1+1+1+1</f>
        <v>42</v>
      </c>
      <c r="E12" s="7">
        <f t="shared" si="2"/>
        <v>0.00914235959947758</v>
      </c>
      <c r="F12" s="9">
        <v>38</v>
      </c>
      <c r="G12" s="7">
        <f t="shared" si="3"/>
        <v>0.0012959552554396017</v>
      </c>
      <c r="H12" s="5">
        <f t="shared" si="0"/>
        <v>0.003479438284972394</v>
      </c>
      <c r="I12" s="10">
        <f t="shared" si="4"/>
        <v>0.11232272585305368</v>
      </c>
      <c r="J12" s="109">
        <f t="shared" si="5"/>
        <v>2383.7384976349995</v>
      </c>
    </row>
    <row r="13" spans="1:10" ht="12.75" outlineLevel="1">
      <c r="A13" s="92" t="s">
        <v>262</v>
      </c>
      <c r="B13" s="9">
        <v>8</v>
      </c>
      <c r="C13" s="7">
        <f t="shared" si="1"/>
        <v>0.0005542085209560097</v>
      </c>
      <c r="D13" s="9"/>
      <c r="E13" s="7">
        <f t="shared" si="2"/>
        <v>0</v>
      </c>
      <c r="F13" s="9"/>
      <c r="G13" s="7">
        <f t="shared" si="3"/>
        <v>0</v>
      </c>
      <c r="H13" s="5">
        <f t="shared" si="0"/>
        <v>0.00018473617365200325</v>
      </c>
      <c r="I13" s="10">
        <f t="shared" si="4"/>
        <v>0.005963626565205973</v>
      </c>
      <c r="J13" s="109">
        <f t="shared" si="5"/>
        <v>126.56144267365802</v>
      </c>
    </row>
    <row r="14" spans="1:10" ht="12.75" outlineLevel="1">
      <c r="A14" s="92" t="s">
        <v>17</v>
      </c>
      <c r="B14" s="9">
        <f>108+60</f>
        <v>168</v>
      </c>
      <c r="C14" s="7">
        <f t="shared" si="1"/>
        <v>0.011638378940076204</v>
      </c>
      <c r="D14" s="9">
        <f>2+16</f>
        <v>18</v>
      </c>
      <c r="E14" s="7">
        <f t="shared" si="2"/>
        <v>0.00391815411406182</v>
      </c>
      <c r="F14" s="9">
        <v>863</v>
      </c>
      <c r="G14" s="7">
        <f t="shared" si="3"/>
        <v>0.029431825932746743</v>
      </c>
      <c r="H14" s="5">
        <f t="shared" si="0"/>
        <v>0.014996119662294922</v>
      </c>
      <c r="I14" s="10">
        <f t="shared" si="4"/>
        <v>0.48410257625848496</v>
      </c>
      <c r="J14" s="109">
        <f t="shared" si="5"/>
        <v>10273.735248744955</v>
      </c>
    </row>
    <row r="15" spans="1:10" ht="12.75" outlineLevel="1">
      <c r="A15" s="92" t="s">
        <v>162</v>
      </c>
      <c r="B15" s="9"/>
      <c r="C15" s="7">
        <f t="shared" si="1"/>
        <v>0</v>
      </c>
      <c r="D15" s="9">
        <f>22+5+34+2+1+3</f>
        <v>67</v>
      </c>
      <c r="E15" s="7">
        <f t="shared" si="2"/>
        <v>0.014584240313452328</v>
      </c>
      <c r="F15" s="9">
        <v>51</v>
      </c>
      <c r="G15" s="7">
        <f t="shared" si="3"/>
        <v>0.0017393083691426233</v>
      </c>
      <c r="H15" s="5">
        <f t="shared" si="0"/>
        <v>0.005441182894198318</v>
      </c>
      <c r="I15" s="10">
        <f t="shared" si="4"/>
        <v>0.17565148293647975</v>
      </c>
      <c r="J15" s="109">
        <f t="shared" si="5"/>
        <v>3727.7158194160825</v>
      </c>
    </row>
    <row r="16" spans="1:10" ht="13.5" outlineLevel="1" thickBot="1">
      <c r="A16" s="92" t="s">
        <v>185</v>
      </c>
      <c r="B16" s="9"/>
      <c r="C16" s="7">
        <f t="shared" si="1"/>
        <v>0</v>
      </c>
      <c r="D16" s="9"/>
      <c r="E16" s="7">
        <f t="shared" si="2"/>
        <v>0</v>
      </c>
      <c r="F16" s="9">
        <v>6</v>
      </c>
      <c r="G16" s="7">
        <f t="shared" si="3"/>
        <v>0.0002046245140167792</v>
      </c>
      <c r="H16" s="5">
        <f>+(C16+E16+G16)/3</f>
        <v>6.82081713389264E-05</v>
      </c>
      <c r="I16" s="10">
        <f t="shared" si="4"/>
        <v>0.0022018863686502</v>
      </c>
      <c r="J16" s="109">
        <f t="shared" si="5"/>
        <v>46.72893454558659</v>
      </c>
    </row>
    <row r="17" spans="1:10" ht="26.25" thickBot="1">
      <c r="A17" s="129" t="s">
        <v>278</v>
      </c>
      <c r="B17" s="122">
        <f aca="true" t="shared" si="6" ref="B17:I17">SUM(B8:B16)</f>
        <v>180</v>
      </c>
      <c r="C17" s="123">
        <f t="shared" si="6"/>
        <v>0.012469691721510218</v>
      </c>
      <c r="D17" s="122">
        <f t="shared" si="6"/>
        <v>202</v>
      </c>
      <c r="E17" s="123">
        <f t="shared" si="6"/>
        <v>0.04397039616891597</v>
      </c>
      <c r="F17" s="122">
        <f t="shared" si="6"/>
        <v>1070</v>
      </c>
      <c r="G17" s="123">
        <f t="shared" si="6"/>
        <v>0.03649137166632563</v>
      </c>
      <c r="H17" s="123">
        <f t="shared" si="6"/>
        <v>0.030977153185583944</v>
      </c>
      <c r="I17" s="119">
        <f t="shared" si="6"/>
        <v>0.9999999999999998</v>
      </c>
      <c r="J17" s="120">
        <f>'FY09-FY08 Comparison'!K19</f>
        <v>21222.228</v>
      </c>
    </row>
    <row r="20" ht="12.75">
      <c r="J20" s="20"/>
    </row>
  </sheetData>
  <mergeCells count="4">
    <mergeCell ref="I5:J5"/>
    <mergeCell ref="I1:J2"/>
    <mergeCell ref="I3:J3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K7" sqref="K7"/>
    </sheetView>
  </sheetViews>
  <sheetFormatPr defaultColWidth="9.140625" defaultRowHeight="12.75" outlineLevelRow="1" outlineLevelCol="1"/>
  <cols>
    <col min="1" max="1" width="41.00390625" style="0" bestFit="1" customWidth="1"/>
    <col min="2" max="2" width="7.28125" style="0" hidden="1" customWidth="1" outlineLevel="1"/>
    <col min="3" max="8" width="9.140625" style="0" hidden="1" customWidth="1" outlineLevel="1"/>
    <col min="9" max="9" width="12.7109375" style="0" customWidth="1" collapsed="1"/>
    <col min="10" max="10" width="11.28125" style="0" bestFit="1" customWidth="1"/>
  </cols>
  <sheetData>
    <row r="1" spans="1:10" ht="13.5" customHeight="1">
      <c r="A1" s="89" t="s">
        <v>0</v>
      </c>
      <c r="B1" s="2"/>
      <c r="C1" s="7"/>
      <c r="D1" s="2"/>
      <c r="E1" s="7"/>
      <c r="F1" s="2"/>
      <c r="G1" s="7"/>
      <c r="H1" s="6"/>
      <c r="I1" s="150" t="s">
        <v>204</v>
      </c>
      <c r="J1" s="151"/>
    </row>
    <row r="2" spans="1:10" ht="13.5" thickBot="1">
      <c r="A2" s="111" t="s">
        <v>314</v>
      </c>
      <c r="B2" s="2"/>
      <c r="C2" s="7"/>
      <c r="D2" s="2"/>
      <c r="E2" s="7"/>
      <c r="F2" s="2"/>
      <c r="G2" s="7"/>
      <c r="H2" s="6"/>
      <c r="I2" s="152"/>
      <c r="J2" s="153"/>
    </row>
    <row r="3" spans="1:10" ht="12.75" customHeight="1">
      <c r="A3" s="118" t="s">
        <v>322</v>
      </c>
      <c r="B3" s="2"/>
      <c r="C3" s="7"/>
      <c r="D3" s="2"/>
      <c r="E3" s="7"/>
      <c r="F3" s="9" t="s">
        <v>280</v>
      </c>
      <c r="G3" s="7"/>
      <c r="H3" s="6"/>
      <c r="I3" s="154" t="s">
        <v>312</v>
      </c>
      <c r="J3" s="155"/>
    </row>
    <row r="4" spans="1:10" ht="12.75">
      <c r="A4" s="93"/>
      <c r="B4" s="2" t="s">
        <v>2</v>
      </c>
      <c r="C4" s="7" t="s">
        <v>200</v>
      </c>
      <c r="D4" s="2" t="s">
        <v>117</v>
      </c>
      <c r="E4" s="7" t="s">
        <v>200</v>
      </c>
      <c r="F4" s="2" t="s">
        <v>117</v>
      </c>
      <c r="G4" s="7" t="s">
        <v>200</v>
      </c>
      <c r="H4" s="5" t="s">
        <v>202</v>
      </c>
      <c r="I4" s="156" t="s">
        <v>319</v>
      </c>
      <c r="J4" s="157"/>
    </row>
    <row r="5" spans="1:10" ht="13.5" thickBot="1">
      <c r="A5" s="94" t="s">
        <v>27</v>
      </c>
      <c r="B5" s="101" t="s">
        <v>3</v>
      </c>
      <c r="C5" s="102" t="s">
        <v>152</v>
      </c>
      <c r="D5" s="101" t="s">
        <v>118</v>
      </c>
      <c r="E5" s="102" t="s">
        <v>152</v>
      </c>
      <c r="F5" s="101" t="s">
        <v>163</v>
      </c>
      <c r="G5" s="102" t="s">
        <v>152</v>
      </c>
      <c r="H5" s="104" t="s">
        <v>201</v>
      </c>
      <c r="I5" s="148">
        <f>SUM(J8:J26)</f>
        <v>143421.18600000002</v>
      </c>
      <c r="J5" s="149"/>
    </row>
    <row r="6" spans="1:10" ht="12.75">
      <c r="A6" s="114"/>
      <c r="I6" s="116"/>
      <c r="J6" s="117"/>
    </row>
    <row r="7" spans="1:10" ht="12.75">
      <c r="A7" s="113" t="s">
        <v>325</v>
      </c>
      <c r="B7" s="2"/>
      <c r="C7" s="7"/>
      <c r="D7" s="2"/>
      <c r="E7" s="7"/>
      <c r="F7" s="2"/>
      <c r="G7" s="7"/>
      <c r="H7" s="6"/>
      <c r="I7" s="16"/>
      <c r="J7" s="108"/>
    </row>
    <row r="8" spans="1:10" ht="12.75" outlineLevel="1">
      <c r="A8" s="92" t="s">
        <v>27</v>
      </c>
      <c r="B8" s="9">
        <f>868+900</f>
        <v>1768</v>
      </c>
      <c r="C8" s="7">
        <f>B8/14435</f>
        <v>0.12248008313127814</v>
      </c>
      <c r="D8" s="9"/>
      <c r="E8" s="7">
        <f>D8/4594</f>
        <v>0</v>
      </c>
      <c r="F8" s="9">
        <f>4+29</f>
        <v>33</v>
      </c>
      <c r="G8" s="7">
        <f>F8/29332</f>
        <v>0.0011250511386881221</v>
      </c>
      <c r="H8" s="5">
        <f>(C8+E8+G8)/3</f>
        <v>0.04120171142332209</v>
      </c>
      <c r="I8" s="10">
        <f>H8/$H$27</f>
        <v>0.19665414285197325</v>
      </c>
      <c r="J8" s="109">
        <f>I8*$J$27</f>
        <v>28204.370399643423</v>
      </c>
    </row>
    <row r="9" spans="1:10" ht="12.75" outlineLevel="1">
      <c r="A9" s="92" t="s">
        <v>170</v>
      </c>
      <c r="B9" s="9"/>
      <c r="C9" s="7">
        <f aca="true" t="shared" si="0" ref="C9:C26">B9/14435</f>
        <v>0</v>
      </c>
      <c r="D9" s="9"/>
      <c r="E9" s="7">
        <f aca="true" t="shared" si="1" ref="E9:E26">D9/4594</f>
        <v>0</v>
      </c>
      <c r="F9" s="9">
        <v>29</v>
      </c>
      <c r="G9" s="7">
        <f aca="true" t="shared" si="2" ref="G9:G26">F9/29332</f>
        <v>0.0009886813036956226</v>
      </c>
      <c r="H9" s="5">
        <f aca="true" t="shared" si="3" ref="H9:H26">(C9+E9+G9)/3</f>
        <v>0.00032956043456520756</v>
      </c>
      <c r="I9" s="10">
        <f aca="true" t="shared" si="4" ref="I9:I26">H9/$H$27</f>
        <v>0.0015729789501088432</v>
      </c>
      <c r="J9" s="109">
        <f aca="true" t="shared" si="5" ref="J9:J26">I9*$J$27</f>
        <v>225.5985065776451</v>
      </c>
    </row>
    <row r="10" spans="1:10" ht="12.75" outlineLevel="1">
      <c r="A10" s="92" t="s">
        <v>40</v>
      </c>
      <c r="B10" s="9">
        <f>371+319</f>
        <v>690</v>
      </c>
      <c r="C10" s="7">
        <f t="shared" si="0"/>
        <v>0.04780048493245584</v>
      </c>
      <c r="D10" s="9"/>
      <c r="E10" s="7">
        <f t="shared" si="1"/>
        <v>0</v>
      </c>
      <c r="F10" s="9">
        <v>13</v>
      </c>
      <c r="G10" s="7">
        <f t="shared" si="2"/>
        <v>0.0004432019637256239</v>
      </c>
      <c r="H10" s="5">
        <f t="shared" si="3"/>
        <v>0.01608122896539382</v>
      </c>
      <c r="I10" s="10">
        <f t="shared" si="4"/>
        <v>0.07675507130526034</v>
      </c>
      <c r="J10" s="109">
        <f t="shared" si="5"/>
        <v>11008.303358115005</v>
      </c>
    </row>
    <row r="11" spans="1:10" ht="12.75" outlineLevel="1">
      <c r="A11" s="92" t="s">
        <v>272</v>
      </c>
      <c r="B11" s="9"/>
      <c r="C11" s="7">
        <f t="shared" si="0"/>
        <v>0</v>
      </c>
      <c r="D11" s="9"/>
      <c r="E11" s="7">
        <f t="shared" si="1"/>
        <v>0</v>
      </c>
      <c r="F11" s="9">
        <v>2</v>
      </c>
      <c r="G11" s="7">
        <f t="shared" si="2"/>
        <v>6.818491749624983E-05</v>
      </c>
      <c r="H11" s="5">
        <f t="shared" si="3"/>
        <v>2.2728305832083277E-05</v>
      </c>
      <c r="I11" s="10">
        <f t="shared" si="4"/>
        <v>0.00010848130690405814</v>
      </c>
      <c r="J11" s="109">
        <f t="shared" si="5"/>
        <v>15.558517695010005</v>
      </c>
    </row>
    <row r="12" spans="1:10" ht="12.75" outlineLevel="1">
      <c r="A12" s="92" t="s">
        <v>236</v>
      </c>
      <c r="B12" s="9"/>
      <c r="C12" s="7">
        <f t="shared" si="0"/>
        <v>0</v>
      </c>
      <c r="D12" s="9">
        <f>23+8+2+19+3+54+13+8+2+14+2+8+3+5+4+5+2+2+9+6+2+1+4+2+1+10+4+4+3+2+1+1+1+3+5+9+2+10+3+39+13+8+2+9+1+7+1+1+1+1+1+2+1+1+1+1+5+5+3+14+9+9</f>
        <v>395</v>
      </c>
      <c r="E12" s="7">
        <f t="shared" si="1"/>
        <v>0.08598171528080105</v>
      </c>
      <c r="F12" s="9">
        <v>2994</v>
      </c>
      <c r="G12" s="7">
        <f t="shared" si="2"/>
        <v>0.102072821491886</v>
      </c>
      <c r="H12" s="5">
        <f t="shared" si="3"/>
        <v>0.06268484559089568</v>
      </c>
      <c r="I12" s="10">
        <f t="shared" si="4"/>
        <v>0.29919229453435026</v>
      </c>
      <c r="J12" s="109">
        <f t="shared" si="5"/>
        <v>42910.51372417783</v>
      </c>
    </row>
    <row r="13" spans="1:10" ht="12.75" outlineLevel="1">
      <c r="A13" s="92" t="s">
        <v>269</v>
      </c>
      <c r="B13" s="9">
        <v>3</v>
      </c>
      <c r="C13" s="7">
        <f t="shared" si="0"/>
        <v>0.00020782819535850364</v>
      </c>
      <c r="D13" s="9"/>
      <c r="E13" s="7">
        <f t="shared" si="1"/>
        <v>0</v>
      </c>
      <c r="F13" s="9"/>
      <c r="G13" s="7">
        <f t="shared" si="2"/>
        <v>0</v>
      </c>
      <c r="H13" s="5">
        <f t="shared" si="3"/>
        <v>6.927606511950121E-05</v>
      </c>
      <c r="I13" s="10">
        <f t="shared" si="4"/>
        <v>0.00033065192526253895</v>
      </c>
      <c r="J13" s="109">
        <f t="shared" si="5"/>
        <v>47.42249127433669</v>
      </c>
    </row>
    <row r="14" spans="1:10" ht="12.75" outlineLevel="1">
      <c r="A14" s="92" t="s">
        <v>60</v>
      </c>
      <c r="B14" s="9">
        <f>10+16</f>
        <v>26</v>
      </c>
      <c r="C14" s="7">
        <f t="shared" si="0"/>
        <v>0.0018011776931070316</v>
      </c>
      <c r="D14" s="9"/>
      <c r="E14" s="7">
        <f t="shared" si="1"/>
        <v>0</v>
      </c>
      <c r="F14" s="9"/>
      <c r="G14" s="7">
        <f t="shared" si="2"/>
        <v>0</v>
      </c>
      <c r="H14" s="5">
        <f t="shared" si="3"/>
        <v>0.0006003925643690106</v>
      </c>
      <c r="I14" s="10">
        <f t="shared" si="4"/>
        <v>0.0028656500189420046</v>
      </c>
      <c r="J14" s="109">
        <f t="shared" si="5"/>
        <v>410.9949243775847</v>
      </c>
    </row>
    <row r="15" spans="1:10" ht="12.75" outlineLevel="1">
      <c r="A15" s="92" t="s">
        <v>211</v>
      </c>
      <c r="B15" s="9">
        <f>21+62</f>
        <v>83</v>
      </c>
      <c r="C15" s="7">
        <f t="shared" si="0"/>
        <v>0.005749913404918601</v>
      </c>
      <c r="D15" s="9">
        <f>40+32+12</f>
        <v>84</v>
      </c>
      <c r="E15" s="7">
        <f t="shared" si="1"/>
        <v>0.01828471919895516</v>
      </c>
      <c r="F15" s="9">
        <v>465</v>
      </c>
      <c r="G15" s="7">
        <f t="shared" si="2"/>
        <v>0.015852993317878084</v>
      </c>
      <c r="H15" s="5">
        <f t="shared" si="3"/>
        <v>0.013295875307250614</v>
      </c>
      <c r="I15" s="10">
        <f t="shared" si="4"/>
        <v>0.06346068820175392</v>
      </c>
      <c r="J15" s="109">
        <f t="shared" si="5"/>
        <v>9101.607166271753</v>
      </c>
    </row>
    <row r="16" spans="1:10" s="4" customFormat="1" ht="12.75" outlineLevel="1">
      <c r="A16" s="92" t="s">
        <v>23</v>
      </c>
      <c r="B16" s="9">
        <f>33+25</f>
        <v>58</v>
      </c>
      <c r="C16" s="7">
        <f t="shared" si="0"/>
        <v>0.00401801177693107</v>
      </c>
      <c r="D16" s="9"/>
      <c r="E16" s="7">
        <f t="shared" si="1"/>
        <v>0</v>
      </c>
      <c r="F16" s="9">
        <v>267</v>
      </c>
      <c r="G16" s="7">
        <f t="shared" si="2"/>
        <v>0.009102686485749353</v>
      </c>
      <c r="H16" s="5">
        <f t="shared" si="3"/>
        <v>0.004373566087560141</v>
      </c>
      <c r="I16" s="10">
        <f t="shared" si="4"/>
        <v>0.020874858360100848</v>
      </c>
      <c r="J16" s="109">
        <f t="shared" si="5"/>
        <v>2993.8969435876784</v>
      </c>
    </row>
    <row r="17" spans="1:10" ht="12.75" outlineLevel="1">
      <c r="A17" s="92" t="s">
        <v>107</v>
      </c>
      <c r="B17" s="9">
        <f>27+49</f>
        <v>76</v>
      </c>
      <c r="C17" s="7">
        <f t="shared" si="0"/>
        <v>0.005264980949082092</v>
      </c>
      <c r="D17" s="9"/>
      <c r="E17" s="7">
        <f t="shared" si="1"/>
        <v>0</v>
      </c>
      <c r="F17" s="9">
        <v>260</v>
      </c>
      <c r="G17" s="7">
        <f t="shared" si="2"/>
        <v>0.008864039274512478</v>
      </c>
      <c r="H17" s="5">
        <f t="shared" si="3"/>
        <v>0.004709673407864857</v>
      </c>
      <c r="I17" s="10">
        <f t="shared" si="4"/>
        <v>0.022479085337511875</v>
      </c>
      <c r="J17" s="109">
        <f t="shared" si="5"/>
        <v>3223.977079301163</v>
      </c>
    </row>
    <row r="18" spans="1:10" ht="12.75" outlineLevel="1">
      <c r="A18" s="92" t="s">
        <v>237</v>
      </c>
      <c r="B18" s="9">
        <f>11+9</f>
        <v>20</v>
      </c>
      <c r="C18" s="7">
        <f t="shared" si="0"/>
        <v>0.0013855213023900243</v>
      </c>
      <c r="D18" s="9">
        <f>6+6+8+8+3+5+8+9+1+6+7+13+7+1+11+10+2+10+9+1+3+8+2+9+11+7+1+9+3+8+9+8+6+3+7+9+11+8+7+3+12+7+11+10+7+12+9+9+13+2+7+5</f>
        <v>367</v>
      </c>
      <c r="E18" s="7">
        <f t="shared" si="1"/>
        <v>0.07988680888114932</v>
      </c>
      <c r="F18" s="9">
        <v>1397</v>
      </c>
      <c r="G18" s="7">
        <f t="shared" si="2"/>
        <v>0.04762716487113051</v>
      </c>
      <c r="H18" s="5">
        <f t="shared" si="3"/>
        <v>0.042966498351556616</v>
      </c>
      <c r="I18" s="10">
        <f t="shared" si="4"/>
        <v>0.20507740122399998</v>
      </c>
      <c r="J18" s="109">
        <f t="shared" si="5"/>
        <v>29412.444105343926</v>
      </c>
    </row>
    <row r="19" spans="1:10" ht="12.75" outlineLevel="1">
      <c r="A19" s="92" t="s">
        <v>187</v>
      </c>
      <c r="B19" s="9"/>
      <c r="C19" s="7">
        <f t="shared" si="0"/>
        <v>0</v>
      </c>
      <c r="D19" s="9"/>
      <c r="E19" s="7">
        <f t="shared" si="1"/>
        <v>0</v>
      </c>
      <c r="F19" s="9">
        <v>26</v>
      </c>
      <c r="G19" s="7">
        <f t="shared" si="2"/>
        <v>0.0008864039274512478</v>
      </c>
      <c r="H19" s="5">
        <f t="shared" si="3"/>
        <v>0.00029546797581708257</v>
      </c>
      <c r="I19" s="10">
        <f t="shared" si="4"/>
        <v>0.0014102569897527556</v>
      </c>
      <c r="J19" s="109">
        <f t="shared" si="5"/>
        <v>202.26073003513002</v>
      </c>
    </row>
    <row r="20" spans="1:10" ht="12.75" outlineLevel="1">
      <c r="A20" s="92" t="s">
        <v>78</v>
      </c>
      <c r="B20" s="9">
        <f>9+13</f>
        <v>22</v>
      </c>
      <c r="C20" s="7">
        <f t="shared" si="0"/>
        <v>0.0015240734326290267</v>
      </c>
      <c r="D20" s="9"/>
      <c r="E20" s="7">
        <f t="shared" si="1"/>
        <v>0</v>
      </c>
      <c r="F20" s="9"/>
      <c r="G20" s="7">
        <f t="shared" si="2"/>
        <v>0</v>
      </c>
      <c r="H20" s="5">
        <f t="shared" si="3"/>
        <v>0.0005080244775430089</v>
      </c>
      <c r="I20" s="10">
        <f t="shared" si="4"/>
        <v>0.0024247807852586186</v>
      </c>
      <c r="J20" s="109">
        <f t="shared" si="5"/>
        <v>347.7649360118024</v>
      </c>
    </row>
    <row r="21" spans="1:10" ht="12.75" outlineLevel="1">
      <c r="A21" s="92" t="s">
        <v>54</v>
      </c>
      <c r="B21" s="9">
        <f>77+3</f>
        <v>80</v>
      </c>
      <c r="C21" s="7">
        <f t="shared" si="0"/>
        <v>0.005542085209560097</v>
      </c>
      <c r="D21" s="9">
        <f>4+8+4+9+11+9+12</f>
        <v>57</v>
      </c>
      <c r="E21" s="7">
        <f t="shared" si="1"/>
        <v>0.012407488027862429</v>
      </c>
      <c r="F21" s="9">
        <v>178</v>
      </c>
      <c r="G21" s="7">
        <f t="shared" si="2"/>
        <v>0.006068457657166235</v>
      </c>
      <c r="H21" s="5">
        <f t="shared" si="3"/>
        <v>0.008006010298196253</v>
      </c>
      <c r="I21" s="10">
        <f t="shared" si="4"/>
        <v>0.03821237124544935</v>
      </c>
      <c r="J21" s="109">
        <f t="shared" si="5"/>
        <v>5480.463603894643</v>
      </c>
    </row>
    <row r="22" spans="1:10" ht="12.75" outlineLevel="1">
      <c r="A22" s="92" t="s">
        <v>222</v>
      </c>
      <c r="B22" s="9">
        <f>47+1</f>
        <v>48</v>
      </c>
      <c r="C22" s="7">
        <f t="shared" si="0"/>
        <v>0.0033252511257360583</v>
      </c>
      <c r="D22" s="9">
        <f>19+8</f>
        <v>27</v>
      </c>
      <c r="E22" s="7">
        <f t="shared" si="1"/>
        <v>0.0058772311710927295</v>
      </c>
      <c r="F22" s="9">
        <v>42</v>
      </c>
      <c r="G22" s="7">
        <f t="shared" si="2"/>
        <v>0.0014318832674212465</v>
      </c>
      <c r="H22" s="5">
        <f t="shared" si="3"/>
        <v>0.0035447885214166786</v>
      </c>
      <c r="I22" s="10">
        <f t="shared" si="4"/>
        <v>0.016919135739495543</v>
      </c>
      <c r="J22" s="109">
        <f t="shared" si="5"/>
        <v>2426.5625138534374</v>
      </c>
    </row>
    <row r="23" spans="1:10" ht="12.75" outlineLevel="1">
      <c r="A23" s="92" t="s">
        <v>119</v>
      </c>
      <c r="B23" s="9"/>
      <c r="C23" s="7">
        <f t="shared" si="0"/>
        <v>0</v>
      </c>
      <c r="D23" s="9">
        <f>2</f>
        <v>2</v>
      </c>
      <c r="E23" s="7">
        <f t="shared" si="1"/>
        <v>0.00043535045711797995</v>
      </c>
      <c r="F23" s="9">
        <v>31</v>
      </c>
      <c r="G23" s="7">
        <f t="shared" si="2"/>
        <v>0.0010568662211918724</v>
      </c>
      <c r="H23" s="5">
        <f t="shared" si="3"/>
        <v>0.0004974055594366174</v>
      </c>
      <c r="I23" s="10">
        <f t="shared" si="4"/>
        <v>0.0023740971081469523</v>
      </c>
      <c r="J23" s="109">
        <f t="shared" si="5"/>
        <v>340.4958229296061</v>
      </c>
    </row>
    <row r="24" spans="1:10" ht="12.75" outlineLevel="1">
      <c r="A24" s="92" t="s">
        <v>112</v>
      </c>
      <c r="B24" s="9">
        <f>17+25</f>
        <v>42</v>
      </c>
      <c r="C24" s="7">
        <f t="shared" si="0"/>
        <v>0.002909594735019051</v>
      </c>
      <c r="D24" s="9"/>
      <c r="E24" s="7">
        <f t="shared" si="1"/>
        <v>0</v>
      </c>
      <c r="F24" s="9"/>
      <c r="G24" s="7">
        <f t="shared" si="2"/>
        <v>0</v>
      </c>
      <c r="H24" s="5">
        <f t="shared" si="3"/>
        <v>0.000969864911673017</v>
      </c>
      <c r="I24" s="10">
        <f t="shared" si="4"/>
        <v>0.0046291269536755456</v>
      </c>
      <c r="J24" s="109">
        <f t="shared" si="5"/>
        <v>663.9148778407138</v>
      </c>
    </row>
    <row r="25" spans="1:10" ht="12.75" outlineLevel="1">
      <c r="A25" s="93" t="s">
        <v>28</v>
      </c>
      <c r="B25" s="9">
        <f>88+69</f>
        <v>157</v>
      </c>
      <c r="C25" s="7">
        <f t="shared" si="0"/>
        <v>0.01087634222376169</v>
      </c>
      <c r="D25" s="9"/>
      <c r="E25" s="7">
        <f t="shared" si="1"/>
        <v>0</v>
      </c>
      <c r="F25" s="9"/>
      <c r="G25" s="7">
        <f t="shared" si="2"/>
        <v>0</v>
      </c>
      <c r="H25" s="5">
        <f t="shared" si="3"/>
        <v>0.0036254474079205636</v>
      </c>
      <c r="I25" s="10">
        <f t="shared" si="4"/>
        <v>0.017304117422072874</v>
      </c>
      <c r="J25" s="109">
        <f t="shared" si="5"/>
        <v>2481.777043356954</v>
      </c>
    </row>
    <row r="26" spans="1:10" ht="13.5" outlineLevel="1" thickBot="1">
      <c r="A26" s="93" t="s">
        <v>113</v>
      </c>
      <c r="B26" s="9">
        <f>55+92</f>
        <v>147</v>
      </c>
      <c r="C26" s="7">
        <f t="shared" si="0"/>
        <v>0.010183581572566679</v>
      </c>
      <c r="D26" s="9">
        <f>1+1+1+1+3+1+1+1+1+1</f>
        <v>12</v>
      </c>
      <c r="E26" s="7">
        <f t="shared" si="1"/>
        <v>0.00261210274270788</v>
      </c>
      <c r="F26" s="9">
        <v>129</v>
      </c>
      <c r="G26" s="7">
        <f t="shared" si="2"/>
        <v>0.004397927178508114</v>
      </c>
      <c r="H26" s="5">
        <f t="shared" si="3"/>
        <v>0.005731203831260891</v>
      </c>
      <c r="I26" s="10">
        <f t="shared" si="4"/>
        <v>0.027354809739980467</v>
      </c>
      <c r="J26" s="109">
        <f t="shared" si="5"/>
        <v>3923.25925571235</v>
      </c>
    </row>
    <row r="27" spans="1:10" ht="13.5" thickBot="1">
      <c r="A27" s="128" t="s">
        <v>198</v>
      </c>
      <c r="B27" s="122">
        <f aca="true" t="shared" si="6" ref="B27:I27">SUM(B8:B26)</f>
        <v>3220</v>
      </c>
      <c r="C27" s="123">
        <f t="shared" si="6"/>
        <v>0.22306892968479392</v>
      </c>
      <c r="D27" s="122">
        <f t="shared" si="6"/>
        <v>944</v>
      </c>
      <c r="E27" s="123">
        <f t="shared" si="6"/>
        <v>0.20548541575968657</v>
      </c>
      <c r="F27" s="122">
        <f t="shared" si="6"/>
        <v>5866</v>
      </c>
      <c r="G27" s="123">
        <f t="shared" si="6"/>
        <v>0.19998636301650075</v>
      </c>
      <c r="H27" s="123">
        <f t="shared" si="6"/>
        <v>0.20951356948699373</v>
      </c>
      <c r="I27" s="119">
        <f t="shared" si="6"/>
        <v>0.9999999999999999</v>
      </c>
      <c r="J27" s="120">
        <f>'FY09-FY08 Comparison'!K21</f>
        <v>143421.186</v>
      </c>
    </row>
  </sheetData>
  <mergeCells count="4">
    <mergeCell ref="I5:J5"/>
    <mergeCell ref="I1:J2"/>
    <mergeCell ref="I3:J3"/>
    <mergeCell ref="I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&lt;Multnomah Countyt&gt;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LAN</dc:creator>
  <cp:keywords/>
  <dc:description/>
  <cp:lastModifiedBy>newimage</cp:lastModifiedBy>
  <cp:lastPrinted>2008-01-09T22:00:47Z</cp:lastPrinted>
  <dcterms:created xsi:type="dcterms:W3CDTF">2003-10-28T22:15:39Z</dcterms:created>
  <dcterms:modified xsi:type="dcterms:W3CDTF">2010-12-03T00:38:58Z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-514622636</vt:i4>
  </property>
  <property fmtid="{D5CDD505-2E9C-101B-9397-08002B2CF9AE}" pid="3" name="_EmailSubject">
    <vt:lpwstr>updated FREDS rates?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PreviousAdHocReviewCycleID">
    <vt:i4>669256346</vt:i4>
  </property>
  <property fmtid="{D5CDD505-2E9C-101B-9397-08002B2CF9AE}" pid="7" name="_ReviewingToolsShownOnce">
    <vt:lpwstr/>
  </property>
</Properties>
</file>