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15195" windowHeight="11640" tabRatio="794" activeTab="0"/>
  </bookViews>
  <sheets>
    <sheet name="Dept Allocations" sheetId="1" r:id="rId1"/>
    <sheet name="Rate Calculators" sheetId="2" r:id="rId2"/>
    <sheet name="IT Cost Center Allocations" sheetId="3" r:id="rId3"/>
    <sheet name="Cost Model Boxology" sheetId="4" r:id="rId4"/>
  </sheets>
  <definedNames>
    <definedName name="CCGroup">#REF!</definedName>
    <definedName name="Cost_Centers">#REF!</definedName>
    <definedName name="EmpDetails">#REF!</definedName>
    <definedName name="FTE">#REF!</definedName>
    <definedName name="_xlnm.Print_Area" localSheetId="0">'Dept Allocations'!$A$1:$U$53</definedName>
    <definedName name="_xlnm.Print_Area" localSheetId="2">'IT Cost Center Allocations'!$A$1:$AM$44</definedName>
    <definedName name="_xlnm.Print_Area" localSheetId="1">'Rate Calculators'!$A$1:$T$55</definedName>
    <definedName name="_xlnm.Print_Titles" localSheetId="2">'IT Cost Center Allocations'!$A:$B,'IT Cost Center Allocations'!$6:$14</definedName>
  </definedNames>
  <calcPr fullCalcOnLoad="1"/>
</workbook>
</file>

<file path=xl/comments1.xml><?xml version="1.0" encoding="utf-8"?>
<comments xmlns="http://schemas.openxmlformats.org/spreadsheetml/2006/main">
  <authors>
    <author>RFM</author>
  </authors>
  <commentList>
    <comment ref="R9" authorId="0">
      <text>
        <r>
          <rPr>
            <b/>
            <sz val="8"/>
            <rFont val="Tahoma"/>
            <family val="0"/>
          </rPr>
          <t>75900 = OCHIN
5700 = Metro Public Defenders</t>
        </r>
      </text>
    </comment>
    <comment ref="R10" authorId="0">
      <text>
        <r>
          <rPr>
            <b/>
            <sz val="8"/>
            <rFont val="Tahoma"/>
            <family val="0"/>
          </rPr>
          <t>Per agreement, Indirect Circuit Rate can NOT be charged to  
Metro Public Defenders (1 circuit)
OCHIN (9 circuits)</t>
        </r>
      </text>
    </comment>
    <comment ref="R41" authorId="0">
      <text>
        <r>
          <rPr>
            <b/>
            <sz val="8"/>
            <rFont val="Tahoma"/>
            <family val="0"/>
          </rPr>
          <t>OCHIN per rack charge (6 racks @ $3K)</t>
        </r>
      </text>
    </comment>
  </commentList>
</comments>
</file>

<file path=xl/comments2.xml><?xml version="1.0" encoding="utf-8"?>
<comments xmlns="http://schemas.openxmlformats.org/spreadsheetml/2006/main">
  <authors>
    <author>RFM</author>
    <author>boylant</author>
  </authors>
  <commentList>
    <comment ref="O24" authorId="0">
      <text>
        <r>
          <rPr>
            <sz val="8"/>
            <rFont val="Tahoma"/>
            <family val="0"/>
          </rPr>
          <t xml:space="preserve">Stan provided this value - he indicated that this was from last year (01/05/08)
</t>
        </r>
      </text>
    </comment>
    <comment ref="P24" authorId="0">
      <text>
        <r>
          <rPr>
            <sz val="8"/>
            <rFont val="Tahoma"/>
            <family val="2"/>
          </rPr>
          <t>Stan provided this value - he indicated that this was from last year (01/05/08)</t>
        </r>
      </text>
    </comment>
    <comment ref="D3" authorId="1">
      <text>
        <r>
          <rPr>
            <b/>
            <sz val="8"/>
            <rFont val="Tahoma"/>
            <family val="0"/>
          </rPr>
          <t>"Per Unit" values</t>
        </r>
      </text>
    </comment>
    <comment ref="B19" authorId="0">
      <text>
        <r>
          <rPr>
            <b/>
            <sz val="8"/>
            <rFont val="Tahoma"/>
            <family val="0"/>
          </rPr>
          <t>Excludes IT PCs</t>
        </r>
      </text>
    </comment>
    <comment ref="B20" authorId="0">
      <text>
        <r>
          <rPr>
            <b/>
            <sz val="8"/>
            <rFont val="Tahoma"/>
            <family val="0"/>
          </rPr>
          <t>Excludes IT Laptops</t>
        </r>
      </text>
    </comment>
    <comment ref="R9" authorId="0">
      <text>
        <r>
          <rPr>
            <b/>
            <sz val="8"/>
            <rFont val="Tahoma"/>
            <family val="0"/>
          </rPr>
          <t>Not included in total - per agreement not allowed to charge - Metro Public Defenders (1 circuit)
OCHIN (9 circuits)</t>
        </r>
      </text>
    </comment>
    <comment ref="N39" authorId="0">
      <text>
        <r>
          <rPr>
            <b/>
            <sz val="8"/>
            <rFont val="Tahoma"/>
            <family val="0"/>
          </rPr>
          <t>Includes Enterprise, DARS, GIS and SAP</t>
        </r>
      </text>
    </comment>
    <comment ref="N37" authorId="0">
      <text>
        <r>
          <rPr>
            <b/>
            <sz val="8"/>
            <rFont val="Tahoma"/>
            <family val="0"/>
          </rPr>
          <t>Includes Enterprise, DARS, GIS and SAP</t>
        </r>
      </text>
    </comment>
  </commentList>
</comments>
</file>

<file path=xl/sharedStrings.xml><?xml version="1.0" encoding="utf-8"?>
<sst xmlns="http://schemas.openxmlformats.org/spreadsheetml/2006/main" count="324" uniqueCount="194">
  <si>
    <t>Telecom</t>
  </si>
  <si>
    <t>Operations</t>
  </si>
  <si>
    <t>Help Desk</t>
  </si>
  <si>
    <t>Desktop</t>
  </si>
  <si>
    <t>Cost Center Number:</t>
  </si>
  <si>
    <t>Desktop - Software</t>
  </si>
  <si>
    <t>Desktop - Services</t>
  </si>
  <si>
    <t>Desktop - Hardware</t>
  </si>
  <si>
    <t>WAN</t>
  </si>
  <si>
    <t>Application Management</t>
  </si>
  <si>
    <t>Manager Name:</t>
  </si>
  <si>
    <t>Direct</t>
  </si>
  <si>
    <t>SAP</t>
  </si>
  <si>
    <t>Infrastructure Management</t>
  </si>
  <si>
    <t>DCS App Support</t>
  </si>
  <si>
    <t>GIS</t>
  </si>
  <si>
    <t>DSS Justice  App Support</t>
  </si>
  <si>
    <t>Tech Services</t>
  </si>
  <si>
    <t>Management</t>
  </si>
  <si>
    <t>MCSO App Support</t>
  </si>
  <si>
    <t>DCJ  App Support</t>
  </si>
  <si>
    <t>Data Center</t>
  </si>
  <si>
    <t>Service Name:</t>
  </si>
  <si>
    <t>Total</t>
  </si>
  <si>
    <t>FTE</t>
  </si>
  <si>
    <t>Represented:</t>
  </si>
  <si>
    <t>Direct Mgmt:</t>
  </si>
  <si>
    <t>Senior Mgmt:</t>
  </si>
  <si>
    <t>Represented Personnel:</t>
  </si>
  <si>
    <t>Offer Type:</t>
  </si>
  <si>
    <t>Organization:</t>
  </si>
  <si>
    <t>Apps</t>
  </si>
  <si>
    <t>Infra</t>
  </si>
  <si>
    <t>App Svcs</t>
  </si>
  <si>
    <t>Direct Mgmt Personnel:</t>
  </si>
  <si>
    <t>Senior Management:</t>
  </si>
  <si>
    <t>Allocation ($)</t>
  </si>
  <si>
    <t>Senior Mgmt  Personnel:</t>
  </si>
  <si>
    <t>Shared</t>
  </si>
  <si>
    <t>Tracey Massey</t>
  </si>
  <si>
    <t>Chris Clancy</t>
  </si>
  <si>
    <t>Elise Nicholson</t>
  </si>
  <si>
    <t>Stan Johnson</t>
  </si>
  <si>
    <t>Health App Support</t>
  </si>
  <si>
    <t>M&amp;S Expense:</t>
  </si>
  <si>
    <t>Customer:</t>
  </si>
  <si>
    <t>Tim Boylan</t>
  </si>
  <si>
    <t>Keith  Johnson</t>
  </si>
  <si>
    <t>Gary Wohlers</t>
  </si>
  <si>
    <t>Application Svcs Total ($):</t>
  </si>
  <si>
    <t>Becca Beck</t>
  </si>
  <si>
    <t>Tim Kurilo</t>
  </si>
  <si>
    <t>Satish Nath</t>
  </si>
  <si>
    <t>DCHS</t>
  </si>
  <si>
    <t>DCJ</t>
  </si>
  <si>
    <t>DCM</t>
  </si>
  <si>
    <t>DCS</t>
  </si>
  <si>
    <t>Health</t>
  </si>
  <si>
    <t>MCSO</t>
  </si>
  <si>
    <t>MCDA</t>
  </si>
  <si>
    <t>NOND</t>
  </si>
  <si>
    <t>Application Services</t>
  </si>
  <si>
    <t>PC</t>
  </si>
  <si>
    <t>Laptop</t>
  </si>
  <si>
    <t>Thin Client</t>
  </si>
  <si>
    <t>Lib - Public</t>
  </si>
  <si>
    <t>Lib - Staff</t>
  </si>
  <si>
    <t>Network Services</t>
  </si>
  <si>
    <t>Desktop Devices</t>
  </si>
  <si>
    <t>Desktop Service</t>
  </si>
  <si>
    <t>Total Desktop Rate</t>
  </si>
  <si>
    <t>Network</t>
  </si>
  <si>
    <t>Data Svcs</t>
  </si>
  <si>
    <t>Desktop Services</t>
  </si>
  <si>
    <t>Senior Management allocated by weighted FTEs</t>
  </si>
  <si>
    <t>Telecommunications</t>
  </si>
  <si>
    <t>Data &amp; Rep Svcs - Enterprise</t>
  </si>
  <si>
    <t>FY10 Projected Allocations</t>
  </si>
  <si>
    <t>GIS - Enterprise</t>
  </si>
  <si>
    <t>Data &amp; Rep Svcs - Projects</t>
  </si>
  <si>
    <t>GIS - Projects</t>
  </si>
  <si>
    <t>Projects</t>
  </si>
  <si>
    <t>Service
Rate</t>
  </si>
  <si>
    <t>Device Rates</t>
  </si>
  <si>
    <t>Planning &amp; Administration allocated by weighted FTEs</t>
  </si>
  <si>
    <t xml:space="preserve">Service </t>
  </si>
  <si>
    <t>Enterprise Activities</t>
  </si>
  <si>
    <t>GIS - Enterprise and Project Work</t>
  </si>
  <si>
    <t>Rate Elements</t>
  </si>
  <si>
    <t>Driver</t>
  </si>
  <si>
    <t>Allocation Calculation</t>
  </si>
  <si>
    <t>Application Support Services</t>
  </si>
  <si>
    <t>Desktop Device Count</t>
  </si>
  <si>
    <t>Server Device Count</t>
  </si>
  <si>
    <t>Desktop Device Rates - Hardware &amp; Software</t>
  </si>
  <si>
    <t>Circuits by Department</t>
  </si>
  <si>
    <t xml:space="preserve">Telecommunications (60370) </t>
  </si>
  <si>
    <t>Total Data Processing Allocation (60380):</t>
  </si>
  <si>
    <t>Rate Model Boxology</t>
  </si>
  <si>
    <t>Based on Telecom projections from billing database.  See summary sheet for detail.</t>
  </si>
  <si>
    <t>External</t>
  </si>
  <si>
    <t>DSS-J</t>
  </si>
  <si>
    <t>Virtual Servers</t>
  </si>
  <si>
    <t>Physical Servers</t>
  </si>
  <si>
    <t>Enterprise Servers</t>
  </si>
  <si>
    <t>FY10 DSS-J:</t>
  </si>
  <si>
    <t>Total Data Processing + DSS-J:</t>
  </si>
  <si>
    <t>Grand Total (DP &amp; Telcom):</t>
  </si>
  <si>
    <t>SAP Support Services</t>
  </si>
  <si>
    <t>FY11 Department Allocations</t>
  </si>
  <si>
    <t>FY11 Rate Drivers and Values</t>
  </si>
  <si>
    <t>Device Sub-total:</t>
  </si>
  <si>
    <t>Human Services</t>
  </si>
  <si>
    <t>DCM Support</t>
  </si>
  <si>
    <t>Dan Gorton</t>
  </si>
  <si>
    <t>Joshua Mitchell</t>
  </si>
  <si>
    <t>SAP Services</t>
  </si>
  <si>
    <t>SAP Support</t>
  </si>
  <si>
    <t>709191
709500</t>
  </si>
  <si>
    <t>Sherry Swackhamer</t>
  </si>
  <si>
    <t>CIO</t>
  </si>
  <si>
    <t>General Govt &amp; Open Source</t>
  </si>
  <si>
    <t>CIO
Planning</t>
  </si>
  <si>
    <t>Project &amp; Portfolio Mgmt</t>
  </si>
  <si>
    <t>709000
709105</t>
  </si>
  <si>
    <t>Senior Mgmt</t>
  </si>
  <si>
    <t>CIO, &amp; Planning, Project &amp; Portfolio Mgmt:</t>
  </si>
  <si>
    <t>Asset Repl.</t>
  </si>
  <si>
    <t>Telcom</t>
  </si>
  <si>
    <t>Server</t>
  </si>
  <si>
    <t>GGOS Enterprise</t>
  </si>
  <si>
    <t>PCs:</t>
  </si>
  <si>
    <t>Laptops/Tablets:</t>
  </si>
  <si>
    <t>Thin Clients:</t>
  </si>
  <si>
    <t>(1/5)</t>
  </si>
  <si>
    <t>DARS</t>
  </si>
  <si>
    <t>Data Center (Servers)</t>
  </si>
  <si>
    <t>Total Devices:</t>
  </si>
  <si>
    <t>Total Software:</t>
  </si>
  <si>
    <t>Server Allocation</t>
  </si>
  <si>
    <t>Enterprise Physical:</t>
  </si>
  <si>
    <t>Enterprise Virtual:</t>
  </si>
  <si>
    <t>Dept Physical:</t>
  </si>
  <si>
    <t>Physical</t>
  </si>
  <si>
    <t>Virtual</t>
  </si>
  <si>
    <t>Dept Virtuals:</t>
  </si>
  <si>
    <t>Count</t>
  </si>
  <si>
    <t>FY11 IT Cost Center Allocations</t>
  </si>
  <si>
    <t>Total Enterprise Allocation:</t>
  </si>
  <si>
    <t>Enterprise Server Allocations</t>
  </si>
  <si>
    <t>IT and Enterprise</t>
  </si>
  <si>
    <t>Subtotal:</t>
  </si>
  <si>
    <t>IT Specific Virtual:</t>
  </si>
  <si>
    <t>IT Specific Physical:</t>
  </si>
  <si>
    <t>Dept Direct Allocation:</t>
  </si>
  <si>
    <t>Total Allocation:</t>
  </si>
  <si>
    <t>Network Svcs - Direct Circuits</t>
  </si>
  <si>
    <t>Network Svcs - Indirect Circuits</t>
  </si>
  <si>
    <t>Network Services - Circuit Charge</t>
  </si>
  <si>
    <t>Software - Depts:</t>
  </si>
  <si>
    <t>Software - Library Staff:</t>
  </si>
  <si>
    <t>Software - Library Public:</t>
  </si>
  <si>
    <t>Software - Depts</t>
  </si>
  <si>
    <t>Software - Library Staff</t>
  </si>
  <si>
    <t>Software - Library Public</t>
  </si>
  <si>
    <t>Security</t>
  </si>
  <si>
    <t>709531
709532</t>
  </si>
  <si>
    <t>Enterprise Server Allocation</t>
  </si>
  <si>
    <t>Server Allocations</t>
  </si>
  <si>
    <t>SAP employee count by Dept</t>
  </si>
  <si>
    <t>Planview Data</t>
  </si>
  <si>
    <t>Planview data from prior period - adjusted to reflect next fiscal cycle planning. Allocation based on Department %.</t>
  </si>
  <si>
    <t>SAP plan budget divided by the number of SAP employees.  SAP service rate multiplied by number of SAP employees for a Department</t>
  </si>
  <si>
    <t>Desktop plan budget divided by the total desktop count.  Desktop service rate multiplied by number of devices for a Department.</t>
  </si>
  <si>
    <t xml:space="preserve">GGOS plan budget multiplied by the % of Enterprise work divided by the total device count.  GGOS service rate multiplied by the number of devices for a Department. </t>
  </si>
  <si>
    <t>Security plan budget divided by the total desktop device count. Security service rate is multiplied by number of PC's and Laptops for a Department.</t>
  </si>
  <si>
    <t xml:space="preserve">WAN plan budget less any direct circuit costs divided by the total circuits.  Departments are allocated a direct circuit charge and a indirect allocation, where applicable. </t>
  </si>
  <si>
    <t>Help Desk plan budget divided by the total device count.  Help Desk service rate multipled by the number of devices for a Department.</t>
  </si>
  <si>
    <t>GIS plan Budget multiplied by the % of Enterprise work divided by the total Device Count. GIS service rate multiplied by the number of devices for a Department.</t>
  </si>
  <si>
    <t>GIS plan budget multiplied by the % of GIS Project work multiplied by the time expended for a Department.</t>
  </si>
  <si>
    <t>Data Center plan budget divided by the total servers.  Two rates are created: physical server rate and virtual server rate.  Server rates are applied based on the server counts for a Department.</t>
  </si>
  <si>
    <t>% of device count multiplied by Enterprise Server Balance (Total Server costs less any direct server allocations)</t>
  </si>
  <si>
    <t>Data Center plan budget allocated by number of servers</t>
  </si>
  <si>
    <t>Plan budget (Cost Center estimated expenditure budget)</t>
  </si>
  <si>
    <t>Library</t>
  </si>
  <si>
    <t>GGOS</t>
  </si>
  <si>
    <t>Data and Reportings Services  (DARS)</t>
  </si>
  <si>
    <t xml:space="preserve">DARS plan budget multipled by the Department ratio % used in FY10. </t>
  </si>
  <si>
    <t>BWC:</t>
  </si>
  <si>
    <t>Capital Equipment:</t>
  </si>
  <si>
    <t>Costs ($)</t>
  </si>
  <si>
    <t>BWC Credit</t>
  </si>
  <si>
    <t>IT &amp; Other Allocations:</t>
  </si>
  <si>
    <t>OCHIN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</si>
</sst>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\ _D_M_-;\-* #,##0.00\ _D_M_-;_-* &quot;-&quot;??\ _D_M_-;_-@_-"/>
    <numFmt numFmtId="165" formatCode="_(* #,##0.0_);_(* \(#,##0.0\);_(* &quot;-&quot;??_);_(@_)"/>
    <numFmt numFmtId="166" formatCode="_(* #,##0_);_(* \(#,##0\);_(* &quot;-&quot;??_);_(@_)"/>
    <numFmt numFmtId="167" formatCode="[$-409]dddd\,\ mmmm\ dd\,\ yyyy"/>
    <numFmt numFmtId="168" formatCode="[$-409]mmmm\ d\,\ yyyy;@"/>
    <numFmt numFmtId="169" formatCode="0_);[Red]\(0\)"/>
    <numFmt numFmtId="170" formatCode="_(* #,##0.000_);_(* \(#,##0.000\);_(* &quot;-&quot;??_);_(@_)"/>
    <numFmt numFmtId="171" formatCode="#,##0.0_);[Red]\(#,##0.0\)"/>
    <numFmt numFmtId="172" formatCode="_(&quot;$&quot;* #,##0.0_);_(&quot;$&quot;* \(#,##0.0\);_(&quot;$&quot;* &quot;-&quot;??_);_(@_)"/>
    <numFmt numFmtId="173" formatCode="_(&quot;$&quot;* #,##0_);_(&quot;$&quot;* \(#,##0\);_(&quot;$&quot;* &quot;-&quot;??_);_(@_)"/>
    <numFmt numFmtId="174" formatCode="#,##0.000_);[Red]\(#,##0.000\)"/>
    <numFmt numFmtId="175" formatCode="&quot;$&quot;#,##0.0_);[Red]\(&quot;$&quot;#,##0.0\)"/>
    <numFmt numFmtId="176" formatCode="0.0_);[Red]\(0.0\)"/>
    <numFmt numFmtId="177" formatCode="0.00_);[Red]\(0.00\)"/>
    <numFmt numFmtId="178" formatCode="0.000_);[Red]\(0.000\)"/>
    <numFmt numFmtId="179" formatCode="0.0"/>
    <numFmt numFmtId="180" formatCode="_(* #,##0.0000_);_(* \(#,##0.0000\);_(* &quot;-&quot;??_);_(@_)"/>
    <numFmt numFmtId="181" formatCode="0.0%"/>
    <numFmt numFmtId="182" formatCode="_(* #,##0.00000_);_(* \(#,##0.00000\);_(* &quot;-&quot;??_);_(@_)"/>
    <numFmt numFmtId="183" formatCode="_(* #,##0.0000_);_(* \(#,##0.0000\);_(* &quot;-&quot;????_);_(@_)"/>
    <numFmt numFmtId="184" formatCode="&quot;$&quot;#,##0.000_);[Red]\(&quot;$&quot;#,##0.000\)"/>
    <numFmt numFmtId="185" formatCode="0."/>
    <numFmt numFmtId="186" formatCode="_(* #,##0.000_);_(* \(#,##0.000\);_(* &quot;-&quot;???_);_(@_)"/>
  </numFmts>
  <fonts count="22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1"/>
      <name val="Arial"/>
      <family val="0"/>
    </font>
    <font>
      <b/>
      <sz val="11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9"/>
      <name val="Arial"/>
      <family val="0"/>
    </font>
    <font>
      <b/>
      <sz val="10"/>
      <color indexed="9"/>
      <name val="Arial"/>
      <family val="2"/>
    </font>
    <font>
      <sz val="9"/>
      <color indexed="9"/>
      <name val="Arial"/>
      <family val="0"/>
    </font>
    <font>
      <sz val="10"/>
      <color indexed="9"/>
      <name val="Arial"/>
      <family val="0"/>
    </font>
    <font>
      <b/>
      <sz val="8"/>
      <name val="Tahoma"/>
      <family val="0"/>
    </font>
    <font>
      <b/>
      <sz val="9"/>
      <name val="Arial"/>
      <family val="2"/>
    </font>
    <font>
      <b/>
      <sz val="20"/>
      <color indexed="9"/>
      <name val="Arial"/>
      <family val="2"/>
    </font>
    <font>
      <b/>
      <sz val="16"/>
      <color indexed="9"/>
      <name val="Arial"/>
      <family val="2"/>
    </font>
    <font>
      <sz val="8"/>
      <name val="Tahoma"/>
      <family val="0"/>
    </font>
    <font>
      <b/>
      <sz val="10"/>
      <color indexed="12"/>
      <name val="Arial"/>
      <family val="2"/>
    </font>
    <font>
      <sz val="10"/>
      <color indexed="10"/>
      <name val="Arial"/>
      <family val="0"/>
    </font>
    <font>
      <b/>
      <sz val="8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8"/>
        <bgColor indexed="64"/>
      </patternFill>
    </fill>
    <fill>
      <patternFill patternType="lightUp"/>
    </fill>
    <fill>
      <patternFill patternType="solid">
        <fgColor indexed="1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3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left" indent="1"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 horizontal="center"/>
    </xf>
    <xf numFmtId="0" fontId="0" fillId="0" borderId="0" xfId="0" applyFill="1" applyAlignment="1">
      <alignment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 wrapText="1"/>
    </xf>
    <xf numFmtId="8" fontId="0" fillId="0" borderId="0" xfId="0" applyNumberFormat="1" applyFill="1" applyBorder="1" applyAlignment="1">
      <alignment/>
    </xf>
    <xf numFmtId="8" fontId="1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0" xfId="0" applyFill="1" applyBorder="1" applyAlignment="1">
      <alignment vertical="center" wrapText="1"/>
    </xf>
    <xf numFmtId="0" fontId="0" fillId="0" borderId="2" xfId="0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0" fontId="0" fillId="0" borderId="3" xfId="0" applyFill="1" applyBorder="1" applyAlignment="1">
      <alignment horizontal="center"/>
    </xf>
    <xf numFmtId="166" fontId="0" fillId="0" borderId="0" xfId="15" applyNumberFormat="1" applyFill="1" applyBorder="1" applyAlignment="1">
      <alignment/>
    </xf>
    <xf numFmtId="40" fontId="0" fillId="0" borderId="0" xfId="0" applyNumberFormat="1" applyFill="1" applyBorder="1" applyAlignment="1">
      <alignment/>
    </xf>
    <xf numFmtId="8" fontId="1" fillId="0" borderId="0" xfId="0" applyNumberFormat="1" applyFont="1" applyFill="1" applyBorder="1" applyAlignment="1">
      <alignment/>
    </xf>
    <xf numFmtId="166" fontId="0" fillId="0" borderId="0" xfId="15" applyNumberFormat="1" applyFill="1" applyBorder="1" applyAlignment="1">
      <alignment horizontal="center"/>
    </xf>
    <xf numFmtId="38" fontId="1" fillId="0" borderId="4" xfId="0" applyNumberFormat="1" applyFont="1" applyFill="1" applyBorder="1" applyAlignment="1">
      <alignment/>
    </xf>
    <xf numFmtId="38" fontId="0" fillId="2" borderId="1" xfId="0" applyNumberFormat="1" applyFill="1" applyBorder="1" applyAlignment="1">
      <alignment/>
    </xf>
    <xf numFmtId="38" fontId="0" fillId="2" borderId="1" xfId="0" applyNumberFormat="1" applyFont="1" applyFill="1" applyBorder="1" applyAlignment="1">
      <alignment/>
    </xf>
    <xf numFmtId="38" fontId="0" fillId="0" borderId="0" xfId="0" applyNumberFormat="1" applyFill="1" applyBorder="1" applyAlignment="1">
      <alignment/>
    </xf>
    <xf numFmtId="38" fontId="0" fillId="0" borderId="0" xfId="0" applyNumberFormat="1" applyFont="1" applyFill="1" applyBorder="1" applyAlignment="1">
      <alignment/>
    </xf>
    <xf numFmtId="166" fontId="0" fillId="0" borderId="1" xfId="15" applyNumberFormat="1" applyFill="1" applyBorder="1" applyAlignment="1">
      <alignment horizontal="center"/>
    </xf>
    <xf numFmtId="0" fontId="0" fillId="3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38" fontId="0" fillId="5" borderId="0" xfId="0" applyNumberFormat="1" applyFont="1" applyFill="1" applyBorder="1" applyAlignment="1">
      <alignment/>
    </xf>
    <xf numFmtId="38" fontId="0" fillId="5" borderId="0" xfId="0" applyNumberFormat="1" applyFill="1" applyBorder="1" applyAlignment="1">
      <alignment/>
    </xf>
    <xf numFmtId="0" fontId="0" fillId="6" borderId="1" xfId="0" applyFill="1" applyBorder="1" applyAlignment="1">
      <alignment horizontal="center" vertical="center" wrapText="1"/>
    </xf>
    <xf numFmtId="40" fontId="0" fillId="0" borderId="0" xfId="0" applyNumberFormat="1" applyFill="1" applyBorder="1" applyAlignment="1">
      <alignment horizontal="center"/>
    </xf>
    <xf numFmtId="38" fontId="1" fillId="0" borderId="0" xfId="0" applyNumberFormat="1" applyFont="1" applyFill="1" applyBorder="1" applyAlignment="1">
      <alignment/>
    </xf>
    <xf numFmtId="0" fontId="0" fillId="0" borderId="5" xfId="0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0" fillId="0" borderId="5" xfId="0" applyFill="1" applyBorder="1" applyAlignment="1">
      <alignment horizontal="center" vertical="center" wrapText="1"/>
    </xf>
    <xf numFmtId="38" fontId="0" fillId="0" borderId="5" xfId="0" applyNumberFormat="1" applyFill="1" applyBorder="1" applyAlignment="1">
      <alignment/>
    </xf>
    <xf numFmtId="38" fontId="0" fillId="0" borderId="5" xfId="0" applyNumberFormat="1" applyFont="1" applyFill="1" applyBorder="1" applyAlignment="1">
      <alignment/>
    </xf>
    <xf numFmtId="38" fontId="0" fillId="0" borderId="0" xfId="0" applyNumberForma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Alignment="1">
      <alignment horizontal="left" indent="1"/>
    </xf>
    <xf numFmtId="0" fontId="6" fillId="0" borderId="0" xfId="0" applyFont="1" applyFill="1" applyAlignment="1">
      <alignment horizontal="right"/>
    </xf>
    <xf numFmtId="0" fontId="6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 vertical="center" wrapText="1"/>
    </xf>
    <xf numFmtId="0" fontId="5" fillId="0" borderId="6" xfId="0" applyFont="1" applyFill="1" applyBorder="1" applyAlignment="1">
      <alignment horizontal="right"/>
    </xf>
    <xf numFmtId="0" fontId="5" fillId="0" borderId="7" xfId="0" applyFont="1" applyFill="1" applyBorder="1" applyAlignment="1">
      <alignment horizontal="right"/>
    </xf>
    <xf numFmtId="0" fontId="5" fillId="0" borderId="8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right"/>
    </xf>
    <xf numFmtId="0" fontId="5" fillId="0" borderId="9" xfId="0" applyFont="1" applyFill="1" applyBorder="1" applyAlignment="1">
      <alignment horizontal="right"/>
    </xf>
    <xf numFmtId="0" fontId="5" fillId="0" borderId="10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5" fillId="3" borderId="11" xfId="0" applyFont="1" applyFill="1" applyBorder="1" applyAlignment="1">
      <alignment horizontal="right"/>
    </xf>
    <xf numFmtId="0" fontId="5" fillId="6" borderId="12" xfId="0" applyFont="1" applyFill="1" applyBorder="1" applyAlignment="1">
      <alignment horizontal="right"/>
    </xf>
    <xf numFmtId="0" fontId="8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center" textRotation="90" wrapText="1"/>
    </xf>
    <xf numFmtId="0" fontId="7" fillId="0" borderId="13" xfId="0" applyFont="1" applyFill="1" applyBorder="1" applyAlignment="1">
      <alignment horizontal="center" vertical="center" textRotation="90" wrapText="1"/>
    </xf>
    <xf numFmtId="0" fontId="7" fillId="0" borderId="0" xfId="0" applyFont="1" applyFill="1" applyBorder="1" applyAlignment="1">
      <alignment/>
    </xf>
    <xf numFmtId="0" fontId="2" fillId="0" borderId="1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38" fontId="1" fillId="0" borderId="11" xfId="0" applyNumberFormat="1" applyFont="1" applyFill="1" applyBorder="1" applyAlignment="1">
      <alignment/>
    </xf>
    <xf numFmtId="0" fontId="0" fillId="5" borderId="0" xfId="0" applyFill="1" applyAlignment="1">
      <alignment/>
    </xf>
    <xf numFmtId="8" fontId="0" fillId="5" borderId="0" xfId="0" applyNumberFormat="1" applyFill="1" applyBorder="1" applyAlignment="1">
      <alignment/>
    </xf>
    <xf numFmtId="0" fontId="0" fillId="5" borderId="0" xfId="0" applyFill="1" applyBorder="1" applyAlignment="1">
      <alignment/>
    </xf>
    <xf numFmtId="8" fontId="0" fillId="0" borderId="0" xfId="0" applyNumberFormat="1" applyFill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0" fillId="7" borderId="1" xfId="0" applyFill="1" applyBorder="1" applyAlignment="1">
      <alignment horizontal="center" vertical="center" wrapText="1"/>
    </xf>
    <xf numFmtId="40" fontId="0" fillId="0" borderId="0" xfId="0" applyNumberFormat="1" applyFill="1" applyBorder="1" applyAlignment="1">
      <alignment horizontal="left"/>
    </xf>
    <xf numFmtId="40" fontId="0" fillId="0" borderId="0" xfId="0" applyNumberFormat="1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0" xfId="0" applyBorder="1" applyAlignment="1">
      <alignment horizontal="right"/>
    </xf>
    <xf numFmtId="38" fontId="0" fillId="0" borderId="0" xfId="0" applyNumberFormat="1" applyBorder="1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Fill="1" applyBorder="1" applyAlignment="1">
      <alignment horizontal="left" indent="1"/>
    </xf>
    <xf numFmtId="0" fontId="0" fillId="0" borderId="0" xfId="0" applyFill="1" applyBorder="1" applyAlignment="1">
      <alignment horizontal="right" indent="1"/>
    </xf>
    <xf numFmtId="0" fontId="1" fillId="0" borderId="1" xfId="0" applyFont="1" applyBorder="1" applyAlignment="1">
      <alignment horizontal="center" wrapText="1"/>
    </xf>
    <xf numFmtId="43" fontId="1" fillId="0" borderId="0" xfId="15" applyFont="1" applyBorder="1" applyAlignment="1">
      <alignment horizontal="center"/>
    </xf>
    <xf numFmtId="43" fontId="1" fillId="0" borderId="2" xfId="15" applyFont="1" applyBorder="1" applyAlignment="1">
      <alignment horizontal="center"/>
    </xf>
    <xf numFmtId="43" fontId="0" fillId="0" borderId="0" xfId="15" applyBorder="1" applyAlignment="1">
      <alignment horizontal="center"/>
    </xf>
    <xf numFmtId="0" fontId="0" fillId="8" borderId="1" xfId="0" applyFill="1" applyBorder="1" applyAlignment="1">
      <alignment horizontal="center" vertical="center" wrapText="1"/>
    </xf>
    <xf numFmtId="0" fontId="0" fillId="9" borderId="1" xfId="0" applyFill="1" applyBorder="1" applyAlignment="1">
      <alignment horizontal="center" vertical="center" wrapText="1"/>
    </xf>
    <xf numFmtId="0" fontId="0" fillId="10" borderId="1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/>
    </xf>
    <xf numFmtId="0" fontId="0" fillId="11" borderId="1" xfId="0" applyFill="1" applyBorder="1" applyAlignment="1">
      <alignment horizontal="center" vertical="center" wrapText="1"/>
    </xf>
    <xf numFmtId="0" fontId="0" fillId="12" borderId="1" xfId="0" applyFill="1" applyBorder="1" applyAlignment="1">
      <alignment horizontal="center" vertical="center" wrapText="1"/>
    </xf>
    <xf numFmtId="0" fontId="0" fillId="13" borderId="1" xfId="0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/>
    </xf>
    <xf numFmtId="166" fontId="0" fillId="0" borderId="11" xfId="15" applyNumberFormat="1" applyBorder="1" applyAlignment="1">
      <alignment horizontal="center"/>
    </xf>
    <xf numFmtId="166" fontId="0" fillId="0" borderId="0" xfId="15" applyNumberFormat="1" applyBorder="1" applyAlignment="1">
      <alignment/>
    </xf>
    <xf numFmtId="166" fontId="0" fillId="0" borderId="2" xfId="15" applyNumberFormat="1" applyBorder="1" applyAlignment="1">
      <alignment horizontal="center"/>
    </xf>
    <xf numFmtId="166" fontId="0" fillId="0" borderId="3" xfId="15" applyNumberFormat="1" applyBorder="1" applyAlignment="1">
      <alignment horizontal="center"/>
    </xf>
    <xf numFmtId="166" fontId="0" fillId="0" borderId="12" xfId="15" applyNumberFormat="1" applyBorder="1" applyAlignment="1">
      <alignment horizontal="center"/>
    </xf>
    <xf numFmtId="166" fontId="0" fillId="0" borderId="0" xfId="15" applyNumberFormat="1" applyBorder="1" applyAlignment="1">
      <alignment horizontal="center"/>
    </xf>
    <xf numFmtId="166" fontId="1" fillId="0" borderId="14" xfId="15" applyNumberFormat="1" applyFont="1" applyBorder="1" applyAlignment="1">
      <alignment horizontal="center"/>
    </xf>
    <xf numFmtId="166" fontId="1" fillId="0" borderId="0" xfId="15" applyNumberFormat="1" applyFont="1" applyBorder="1" applyAlignment="1">
      <alignment/>
    </xf>
    <xf numFmtId="0" fontId="1" fillId="0" borderId="0" xfId="0" applyFont="1" applyFill="1" applyBorder="1" applyAlignment="1">
      <alignment/>
    </xf>
    <xf numFmtId="38" fontId="1" fillId="0" borderId="0" xfId="0" applyNumberFormat="1" applyFont="1" applyFill="1" applyBorder="1" applyAlignment="1">
      <alignment/>
    </xf>
    <xf numFmtId="166" fontId="0" fillId="5" borderId="11" xfId="15" applyNumberFormat="1" applyFill="1" applyBorder="1" applyAlignment="1">
      <alignment horizontal="center"/>
    </xf>
    <xf numFmtId="166" fontId="0" fillId="5" borderId="12" xfId="15" applyNumberFormat="1" applyFill="1" applyBorder="1" applyAlignment="1">
      <alignment horizontal="center"/>
    </xf>
    <xf numFmtId="166" fontId="0" fillId="0" borderId="11" xfId="15" applyNumberFormat="1" applyBorder="1" applyAlignment="1">
      <alignment horizontal="right"/>
    </xf>
    <xf numFmtId="166" fontId="0" fillId="5" borderId="5" xfId="15" applyNumberFormat="1" applyFill="1" applyBorder="1" applyAlignment="1">
      <alignment horizontal="right"/>
    </xf>
    <xf numFmtId="166" fontId="0" fillId="0" borderId="0" xfId="15" applyNumberFormat="1" applyBorder="1" applyAlignment="1">
      <alignment horizontal="right"/>
    </xf>
    <xf numFmtId="166" fontId="0" fillId="0" borderId="12" xfId="15" applyNumberFormat="1" applyBorder="1" applyAlignment="1">
      <alignment horizontal="right"/>
    </xf>
    <xf numFmtId="166" fontId="0" fillId="5" borderId="12" xfId="15" applyNumberFormat="1" applyFill="1" applyBorder="1" applyAlignment="1">
      <alignment horizontal="right"/>
    </xf>
    <xf numFmtId="166" fontId="0" fillId="0" borderId="9" xfId="15" applyNumberFormat="1" applyBorder="1" applyAlignment="1">
      <alignment horizontal="right"/>
    </xf>
    <xf numFmtId="166" fontId="0" fillId="0" borderId="0" xfId="15" applyNumberFormat="1" applyFill="1" applyBorder="1" applyAlignment="1">
      <alignment horizontal="right"/>
    </xf>
    <xf numFmtId="166" fontId="0" fillId="0" borderId="2" xfId="15" applyNumberFormat="1" applyBorder="1" applyAlignment="1">
      <alignment horizontal="right"/>
    </xf>
    <xf numFmtId="38" fontId="0" fillId="5" borderId="1" xfId="0" applyNumberFormat="1" applyFont="1" applyFill="1" applyBorder="1" applyAlignment="1">
      <alignment/>
    </xf>
    <xf numFmtId="38" fontId="0" fillId="5" borderId="1" xfId="0" applyNumberFormat="1" applyFill="1" applyBorder="1" applyAlignment="1">
      <alignment/>
    </xf>
    <xf numFmtId="38" fontId="0" fillId="0" borderId="3" xfId="0" applyNumberFormat="1" applyFill="1" applyBorder="1" applyAlignment="1">
      <alignment/>
    </xf>
    <xf numFmtId="0" fontId="0" fillId="5" borderId="0" xfId="0" applyFill="1" applyBorder="1" applyAlignment="1">
      <alignment horizontal="left"/>
    </xf>
    <xf numFmtId="0" fontId="0" fillId="5" borderId="0" xfId="0" applyFill="1" applyBorder="1" applyAlignment="1">
      <alignment horizontal="center"/>
    </xf>
    <xf numFmtId="38" fontId="0" fillId="3" borderId="1" xfId="0" applyNumberFormat="1" applyFill="1" applyBorder="1" applyAlignment="1">
      <alignment/>
    </xf>
    <xf numFmtId="38" fontId="0" fillId="6" borderId="1" xfId="0" applyNumberFormat="1" applyFill="1" applyBorder="1" applyAlignment="1">
      <alignment/>
    </xf>
    <xf numFmtId="38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166" fontId="0" fillId="0" borderId="0" xfId="0" applyNumberFormat="1" applyBorder="1" applyAlignment="1">
      <alignment/>
    </xf>
    <xf numFmtId="166" fontId="0" fillId="0" borderId="5" xfId="15" applyNumberFormat="1" applyFill="1" applyBorder="1" applyAlignment="1">
      <alignment horizontal="center"/>
    </xf>
    <xf numFmtId="0" fontId="1" fillId="0" borderId="5" xfId="0" applyFont="1" applyFill="1" applyBorder="1" applyAlignment="1">
      <alignment horizontal="center" wrapText="1"/>
    </xf>
    <xf numFmtId="9" fontId="0" fillId="0" borderId="5" xfId="0" applyNumberFormat="1" applyFill="1" applyBorder="1" applyAlignment="1">
      <alignment/>
    </xf>
    <xf numFmtId="0" fontId="1" fillId="13" borderId="0" xfId="0" applyFont="1" applyFill="1" applyBorder="1" applyAlignment="1">
      <alignment horizontal="right"/>
    </xf>
    <xf numFmtId="0" fontId="1" fillId="8" borderId="0" xfId="0" applyFont="1" applyFill="1" applyBorder="1" applyAlignment="1">
      <alignment horizontal="right"/>
    </xf>
    <xf numFmtId="0" fontId="1" fillId="0" borderId="15" xfId="0" applyFont="1" applyFill="1" applyBorder="1" applyAlignment="1">
      <alignment horizontal="left"/>
    </xf>
    <xf numFmtId="6" fontId="0" fillId="0" borderId="0" xfId="17" applyNumberFormat="1" applyFont="1" applyFill="1" applyBorder="1" applyAlignment="1">
      <alignment/>
    </xf>
    <xf numFmtId="0" fontId="1" fillId="6" borderId="0" xfId="0" applyFont="1" applyFill="1" applyBorder="1" applyAlignment="1">
      <alignment horizontal="right"/>
    </xf>
    <xf numFmtId="0" fontId="1" fillId="9" borderId="0" xfId="0" applyFont="1" applyFill="1" applyBorder="1" applyAlignment="1">
      <alignment/>
    </xf>
    <xf numFmtId="166" fontId="0" fillId="0" borderId="1" xfId="15" applyNumberFormat="1" applyFill="1" applyBorder="1" applyAlignment="1">
      <alignment/>
    </xf>
    <xf numFmtId="9" fontId="0" fillId="0" borderId="0" xfId="0" applyNumberFormat="1" applyFill="1" applyBorder="1" applyAlignment="1">
      <alignment/>
    </xf>
    <xf numFmtId="9" fontId="0" fillId="0" borderId="0" xfId="21" applyFill="1" applyBorder="1" applyAlignment="1">
      <alignment horizontal="left" indent="1"/>
    </xf>
    <xf numFmtId="9" fontId="0" fillId="0" borderId="15" xfId="0" applyNumberFormat="1" applyFill="1" applyBorder="1" applyAlignment="1">
      <alignment/>
    </xf>
    <xf numFmtId="0" fontId="1" fillId="0" borderId="1" xfId="0" applyFont="1" applyBorder="1" applyAlignment="1">
      <alignment horizontal="center"/>
    </xf>
    <xf numFmtId="0" fontId="1" fillId="12" borderId="0" xfId="0" applyFont="1" applyFill="1" applyBorder="1" applyAlignment="1">
      <alignment horizontal="right" wrapText="1"/>
    </xf>
    <xf numFmtId="0" fontId="1" fillId="9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left" wrapText="1"/>
    </xf>
    <xf numFmtId="0" fontId="1" fillId="12" borderId="0" xfId="0" applyFont="1" applyFill="1" applyBorder="1" applyAlignment="1">
      <alignment wrapText="1"/>
    </xf>
    <xf numFmtId="8" fontId="0" fillId="0" borderId="0" xfId="0" applyNumberFormat="1" applyFill="1" applyAlignment="1">
      <alignment/>
    </xf>
    <xf numFmtId="166" fontId="0" fillId="5" borderId="1" xfId="15" applyNumberFormat="1" applyFill="1" applyBorder="1" applyAlignment="1">
      <alignment/>
    </xf>
    <xf numFmtId="166" fontId="0" fillId="0" borderId="1" xfId="0" applyNumberFormat="1" applyFill="1" applyBorder="1" applyAlignment="1">
      <alignment/>
    </xf>
    <xf numFmtId="166" fontId="0" fillId="5" borderId="1" xfId="0" applyNumberFormat="1" applyFill="1" applyBorder="1" applyAlignment="1">
      <alignment/>
    </xf>
    <xf numFmtId="0" fontId="1" fillId="0" borderId="0" xfId="0" applyFont="1" applyFill="1" applyAlignment="1">
      <alignment/>
    </xf>
    <xf numFmtId="0" fontId="1" fillId="10" borderId="0" xfId="0" applyFont="1" applyFill="1" applyBorder="1" applyAlignment="1">
      <alignment horizontal="right"/>
    </xf>
    <xf numFmtId="0" fontId="1" fillId="7" borderId="0" xfId="0" applyFont="1" applyFill="1" applyBorder="1" applyAlignment="1">
      <alignment horizontal="right"/>
    </xf>
    <xf numFmtId="0" fontId="0" fillId="0" borderId="3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wrapText="1"/>
    </xf>
    <xf numFmtId="0" fontId="0" fillId="0" borderId="0" xfId="0" applyFill="1" applyBorder="1" applyAlignment="1">
      <alignment horizontal="left" vertical="center" wrapText="1"/>
    </xf>
    <xf numFmtId="166" fontId="0" fillId="0" borderId="12" xfId="15" applyNumberFormat="1" applyFill="1" applyBorder="1" applyAlignment="1">
      <alignment horizontal="center"/>
    </xf>
    <xf numFmtId="6" fontId="0" fillId="2" borderId="1" xfId="0" applyNumberFormat="1" applyFill="1" applyBorder="1" applyAlignment="1">
      <alignment horizontal="right"/>
    </xf>
    <xf numFmtId="0" fontId="9" fillId="0" borderId="0" xfId="0" applyFont="1" applyFill="1" applyBorder="1" applyAlignment="1">
      <alignment horizontal="center" vertical="center"/>
    </xf>
    <xf numFmtId="9" fontId="0" fillId="0" borderId="0" xfId="0" applyNumberFormat="1" applyFont="1" applyFill="1" applyBorder="1" applyAlignment="1">
      <alignment wrapText="1"/>
    </xf>
    <xf numFmtId="9" fontId="0" fillId="0" borderId="0" xfId="0" applyNumberFormat="1" applyFont="1" applyFill="1" applyBorder="1" applyAlignment="1">
      <alignment vertical="top" wrapText="1"/>
    </xf>
    <xf numFmtId="9" fontId="0" fillId="0" borderId="1" xfId="21" applyFill="1" applyBorder="1" applyAlignment="1">
      <alignment horizontal="right"/>
    </xf>
    <xf numFmtId="0" fontId="7" fillId="0" borderId="0" xfId="0" applyFont="1" applyAlignment="1">
      <alignment/>
    </xf>
    <xf numFmtId="0" fontId="8" fillId="0" borderId="1" xfId="0" applyFont="1" applyFill="1" applyBorder="1" applyAlignment="1">
      <alignment horizontal="center"/>
    </xf>
    <xf numFmtId="0" fontId="10" fillId="13" borderId="1" xfId="0" applyFont="1" applyFill="1" applyBorder="1" applyAlignment="1">
      <alignment horizontal="center" vertical="center" wrapText="1"/>
    </xf>
    <xf numFmtId="0" fontId="10" fillId="10" borderId="1" xfId="0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center" vertical="center" wrapText="1"/>
    </xf>
    <xf numFmtId="0" fontId="10" fillId="12" borderId="1" xfId="0" applyFont="1" applyFill="1" applyBorder="1" applyAlignment="1">
      <alignment horizontal="center" vertical="center" wrapText="1"/>
    </xf>
    <xf numFmtId="0" fontId="10" fillId="9" borderId="1" xfId="0" applyFont="1" applyFill="1" applyBorder="1" applyAlignment="1">
      <alignment horizontal="center" vertical="center" wrapText="1"/>
    </xf>
    <xf numFmtId="0" fontId="12" fillId="14" borderId="1" xfId="0" applyFont="1" applyFill="1" applyBorder="1" applyAlignment="1">
      <alignment horizontal="center" vertical="center" wrapText="1"/>
    </xf>
    <xf numFmtId="0" fontId="13" fillId="14" borderId="1" xfId="0" applyFont="1" applyFill="1" applyBorder="1" applyAlignment="1">
      <alignment horizontal="center" vertical="center" wrapText="1"/>
    </xf>
    <xf numFmtId="0" fontId="12" fillId="11" borderId="1" xfId="0" applyFont="1" applyFill="1" applyBorder="1" applyAlignment="1">
      <alignment horizontal="center" vertical="center" wrapText="1"/>
    </xf>
    <xf numFmtId="0" fontId="10" fillId="8" borderId="1" xfId="0" applyFont="1" applyFill="1" applyBorder="1" applyAlignment="1">
      <alignment horizontal="center" vertical="center" wrapText="1"/>
    </xf>
    <xf numFmtId="0" fontId="0" fillId="15" borderId="0" xfId="0" applyFill="1" applyAlignment="1">
      <alignment/>
    </xf>
    <xf numFmtId="0" fontId="10" fillId="6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3" fillId="11" borderId="0" xfId="0" applyFont="1" applyFill="1" applyBorder="1" applyAlignment="1">
      <alignment horizontal="right" indent="1"/>
    </xf>
    <xf numFmtId="0" fontId="0" fillId="0" borderId="0" xfId="0" applyFill="1" applyBorder="1" applyAlignment="1">
      <alignment horizontal="center" vertical="center"/>
    </xf>
    <xf numFmtId="166" fontId="0" fillId="0" borderId="1" xfId="15" applyNumberFormat="1" applyFill="1" applyBorder="1" applyAlignment="1">
      <alignment horizontal="right"/>
    </xf>
    <xf numFmtId="43" fontId="0" fillId="0" borderId="0" xfId="15" applyFont="1" applyBorder="1" applyAlignment="1">
      <alignment horizontal="center"/>
    </xf>
    <xf numFmtId="166" fontId="0" fillId="2" borderId="1" xfId="15" applyNumberFormat="1" applyFill="1" applyBorder="1" applyAlignment="1">
      <alignment horizontal="right"/>
    </xf>
    <xf numFmtId="166" fontId="1" fillId="0" borderId="3" xfId="15" applyNumberFormat="1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166" fontId="0" fillId="2" borderId="1" xfId="15" applyNumberFormat="1" applyFont="1" applyFill="1" applyBorder="1" applyAlignment="1">
      <alignment horizontal="left"/>
    </xf>
    <xf numFmtId="166" fontId="0" fillId="2" borderId="1" xfId="15" applyNumberFormat="1" applyFont="1" applyFill="1" applyBorder="1" applyAlignment="1">
      <alignment horizontal="right"/>
    </xf>
    <xf numFmtId="0" fontId="15" fillId="0" borderId="0" xfId="0" applyFont="1" applyBorder="1" applyAlignment="1">
      <alignment horizontal="right"/>
    </xf>
    <xf numFmtId="0" fontId="11" fillId="14" borderId="0" xfId="0" applyFont="1" applyFill="1" applyBorder="1" applyAlignment="1">
      <alignment horizontal="right"/>
    </xf>
    <xf numFmtId="0" fontId="11" fillId="11" borderId="0" xfId="0" applyFont="1" applyFill="1" applyBorder="1" applyAlignment="1">
      <alignment horizontal="right"/>
    </xf>
    <xf numFmtId="0" fontId="11" fillId="16" borderId="0" xfId="0" applyFont="1" applyFill="1" applyBorder="1" applyAlignment="1">
      <alignment horizontal="right"/>
    </xf>
    <xf numFmtId="166" fontId="0" fillId="5" borderId="1" xfId="15" applyNumberFormat="1" applyFill="1" applyBorder="1" applyAlignment="1">
      <alignment horizontal="right"/>
    </xf>
    <xf numFmtId="166" fontId="1" fillId="0" borderId="0" xfId="0" applyNumberFormat="1" applyFont="1" applyFill="1" applyBorder="1" applyAlignment="1">
      <alignment/>
    </xf>
    <xf numFmtId="166" fontId="0" fillId="0" borderId="5" xfId="15" applyNumberFormat="1" applyFill="1" applyBorder="1" applyAlignment="1">
      <alignment/>
    </xf>
    <xf numFmtId="38" fontId="0" fillId="5" borderId="1" xfId="0" applyNumberFormat="1" applyFill="1" applyBorder="1" applyAlignment="1">
      <alignment horizontal="right"/>
    </xf>
    <xf numFmtId="43" fontId="1" fillId="3" borderId="1" xfId="15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66" fontId="0" fillId="5" borderId="0" xfId="0" applyNumberFormat="1" applyFill="1" applyBorder="1" applyAlignment="1">
      <alignment/>
    </xf>
    <xf numFmtId="9" fontId="0" fillId="5" borderId="0" xfId="0" applyNumberFormat="1" applyFill="1" applyBorder="1" applyAlignment="1">
      <alignment/>
    </xf>
    <xf numFmtId="38" fontId="0" fillId="5" borderId="0" xfId="0" applyNumberFormat="1" applyFill="1" applyBorder="1" applyAlignment="1">
      <alignment horizontal="right"/>
    </xf>
    <xf numFmtId="0" fontId="11" fillId="11" borderId="0" xfId="0" applyFont="1" applyFill="1" applyAlignment="1">
      <alignment/>
    </xf>
    <xf numFmtId="43" fontId="0" fillId="0" borderId="0" xfId="15" applyFill="1" applyBorder="1" applyAlignment="1">
      <alignment horizontal="left"/>
    </xf>
    <xf numFmtId="166" fontId="0" fillId="5" borderId="0" xfId="15" applyNumberFormat="1" applyFill="1" applyBorder="1" applyAlignment="1">
      <alignment horizontal="right"/>
    </xf>
    <xf numFmtId="166" fontId="0" fillId="0" borderId="9" xfId="15" applyNumberFormat="1" applyBorder="1" applyAlignment="1">
      <alignment horizontal="center"/>
    </xf>
    <xf numFmtId="166" fontId="0" fillId="0" borderId="1" xfId="15" applyNumberFormat="1" applyFont="1" applyBorder="1" applyAlignment="1">
      <alignment horizontal="left"/>
    </xf>
    <xf numFmtId="166" fontId="1" fillId="0" borderId="0" xfId="15" applyNumberFormat="1" applyFont="1" applyBorder="1" applyAlignment="1">
      <alignment horizontal="center"/>
    </xf>
    <xf numFmtId="38" fontId="0" fillId="2" borderId="1" xfId="0" applyNumberForma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166" fontId="0" fillId="0" borderId="14" xfId="15" applyNumberFormat="1" applyFill="1" applyBorder="1" applyAlignment="1">
      <alignment horizontal="right"/>
    </xf>
    <xf numFmtId="166" fontId="0" fillId="5" borderId="14" xfId="15" applyNumberFormat="1" applyFill="1" applyBorder="1" applyAlignment="1">
      <alignment horizontal="right"/>
    </xf>
    <xf numFmtId="166" fontId="0" fillId="0" borderId="15" xfId="15" applyNumberFormat="1" applyBorder="1" applyAlignment="1">
      <alignment horizontal="right"/>
    </xf>
    <xf numFmtId="43" fontId="1" fillId="0" borderId="3" xfId="15" applyFont="1" applyBorder="1" applyAlignment="1">
      <alignment horizontal="center"/>
    </xf>
    <xf numFmtId="166" fontId="0" fillId="0" borderId="14" xfId="15" applyNumberFormat="1" applyFill="1" applyBorder="1" applyAlignment="1">
      <alignment horizontal="center"/>
    </xf>
    <xf numFmtId="0" fontId="11" fillId="0" borderId="0" xfId="0" applyFont="1" applyFill="1" applyBorder="1" applyAlignment="1">
      <alignment horizontal="right"/>
    </xf>
    <xf numFmtId="166" fontId="0" fillId="0" borderId="14" xfId="15" applyNumberFormat="1" applyBorder="1" applyAlignment="1">
      <alignment horizontal="right"/>
    </xf>
    <xf numFmtId="166" fontId="0" fillId="2" borderId="1" xfId="15" applyNumberFormat="1" applyFill="1" applyBorder="1" applyAlignment="1">
      <alignment/>
    </xf>
    <xf numFmtId="38" fontId="1" fillId="0" borderId="16" xfId="15" applyNumberFormat="1" applyFont="1" applyBorder="1" applyAlignment="1">
      <alignment horizontal="center"/>
    </xf>
    <xf numFmtId="43" fontId="0" fillId="0" borderId="16" xfId="15" applyBorder="1" applyAlignment="1">
      <alignment horizontal="center"/>
    </xf>
    <xf numFmtId="0" fontId="0" fillId="0" borderId="16" xfId="0" applyBorder="1" applyAlignment="1">
      <alignment/>
    </xf>
    <xf numFmtId="43" fontId="0" fillId="0" borderId="1" xfId="15" applyFill="1" applyBorder="1" applyAlignment="1">
      <alignment horizontal="right"/>
    </xf>
    <xf numFmtId="170" fontId="0" fillId="0" borderId="1" xfId="15" applyNumberFormat="1" applyFill="1" applyBorder="1" applyAlignment="1">
      <alignment horizontal="right"/>
    </xf>
    <xf numFmtId="177" fontId="0" fillId="2" borderId="1" xfId="0" applyNumberFormat="1" applyFill="1" applyBorder="1" applyAlignment="1">
      <alignment horizontal="center"/>
    </xf>
    <xf numFmtId="177" fontId="0" fillId="0" borderId="5" xfId="0" applyNumberFormat="1" applyFill="1" applyBorder="1" applyAlignment="1">
      <alignment horizontal="center"/>
    </xf>
    <xf numFmtId="177" fontId="0" fillId="5" borderId="1" xfId="0" applyNumberFormat="1" applyFill="1" applyBorder="1" applyAlignment="1">
      <alignment horizontal="center"/>
    </xf>
    <xf numFmtId="177" fontId="0" fillId="0" borderId="0" xfId="0" applyNumberFormat="1" applyFill="1" applyBorder="1" applyAlignment="1">
      <alignment horizontal="center"/>
    </xf>
    <xf numFmtId="43" fontId="0" fillId="0" borderId="0" xfId="15" applyFill="1" applyBorder="1" applyAlignment="1">
      <alignment/>
    </xf>
    <xf numFmtId="180" fontId="0" fillId="2" borderId="10" xfId="15" applyNumberFormat="1" applyFill="1" applyBorder="1" applyAlignment="1">
      <alignment horizontal="center"/>
    </xf>
    <xf numFmtId="180" fontId="0" fillId="0" borderId="7" xfId="15" applyNumberFormat="1" applyFill="1" applyBorder="1" applyAlignment="1">
      <alignment horizontal="center"/>
    </xf>
    <xf numFmtId="180" fontId="0" fillId="5" borderId="2" xfId="15" applyNumberFormat="1" applyFill="1" applyBorder="1" applyAlignment="1">
      <alignment horizontal="center"/>
    </xf>
    <xf numFmtId="180" fontId="0" fillId="5" borderId="1" xfId="15" applyNumberFormat="1" applyFill="1" applyBorder="1" applyAlignment="1">
      <alignment horizontal="center"/>
    </xf>
    <xf numFmtId="180" fontId="0" fillId="0" borderId="0" xfId="15" applyNumberFormat="1" applyFill="1" applyBorder="1" applyAlignment="1">
      <alignment horizontal="center"/>
    </xf>
    <xf numFmtId="180" fontId="0" fillId="2" borderId="1" xfId="15" applyNumberFormat="1" applyFill="1" applyBorder="1" applyAlignment="1">
      <alignment horizontal="center"/>
    </xf>
    <xf numFmtId="180" fontId="0" fillId="5" borderId="10" xfId="15" applyNumberFormat="1" applyFill="1" applyBorder="1" applyAlignment="1">
      <alignment horizontal="center"/>
    </xf>
    <xf numFmtId="180" fontId="0" fillId="5" borderId="8" xfId="15" applyNumberFormat="1" applyFill="1" applyBorder="1" applyAlignment="1">
      <alignment horizontal="center"/>
    </xf>
    <xf numFmtId="180" fontId="0" fillId="0" borderId="5" xfId="15" applyNumberFormat="1" applyFill="1" applyBorder="1" applyAlignment="1">
      <alignment horizontal="center"/>
    </xf>
    <xf numFmtId="0" fontId="1" fillId="0" borderId="7" xfId="0" applyFont="1" applyFill="1" applyBorder="1" applyAlignment="1">
      <alignment/>
    </xf>
    <xf numFmtId="10" fontId="0" fillId="2" borderId="1" xfId="0" applyNumberFormat="1" applyFill="1" applyBorder="1" applyAlignment="1">
      <alignment/>
    </xf>
    <xf numFmtId="10" fontId="0" fillId="5" borderId="1" xfId="0" applyNumberFormat="1" applyFill="1" applyBorder="1" applyAlignment="1">
      <alignment/>
    </xf>
    <xf numFmtId="10" fontId="0" fillId="2" borderId="0" xfId="0" applyNumberFormat="1" applyFont="1" applyFill="1" applyBorder="1" applyAlignment="1">
      <alignment wrapText="1"/>
    </xf>
    <xf numFmtId="10" fontId="1" fillId="0" borderId="0" xfId="0" applyNumberFormat="1" applyFont="1" applyFill="1" applyBorder="1" applyAlignment="1">
      <alignment horizontal="left" wrapText="1"/>
    </xf>
    <xf numFmtId="10" fontId="0" fillId="0" borderId="0" xfId="0" applyNumberFormat="1" applyFill="1" applyAlignment="1">
      <alignment/>
    </xf>
    <xf numFmtId="10" fontId="0" fillId="2" borderId="0" xfId="0" applyNumberFormat="1" applyFont="1" applyFill="1" applyAlignment="1">
      <alignment vertical="top" wrapText="1"/>
    </xf>
    <xf numFmtId="38" fontId="0" fillId="2" borderId="11" xfId="0" applyNumberFormat="1" applyFill="1" applyBorder="1" applyAlignment="1">
      <alignment horizontal="right"/>
    </xf>
    <xf numFmtId="38" fontId="0" fillId="2" borderId="5" xfId="0" applyNumberFormat="1" applyFill="1" applyBorder="1" applyAlignment="1">
      <alignment horizontal="right"/>
    </xf>
    <xf numFmtId="38" fontId="0" fillId="0" borderId="9" xfId="0" applyNumberFormat="1" applyFill="1" applyBorder="1" applyAlignment="1">
      <alignment horizontal="right"/>
    </xf>
    <xf numFmtId="38" fontId="0" fillId="0" borderId="14" xfId="0" applyNumberFormat="1" applyFill="1" applyBorder="1" applyAlignment="1">
      <alignment horizontal="right"/>
    </xf>
    <xf numFmtId="38" fontId="0" fillId="5" borderId="10" xfId="0" applyNumberFormat="1" applyFill="1" applyBorder="1" applyAlignment="1">
      <alignment horizontal="right"/>
    </xf>
    <xf numFmtId="0" fontId="0" fillId="0" borderId="1" xfId="0" applyFill="1" applyBorder="1" applyAlignment="1">
      <alignment/>
    </xf>
    <xf numFmtId="0" fontId="0" fillId="0" borderId="1" xfId="0" applyFill="1" applyBorder="1" applyAlignment="1">
      <alignment horizontal="center" wrapText="1"/>
    </xf>
    <xf numFmtId="0" fontId="5" fillId="4" borderId="5" xfId="0" applyFont="1" applyFill="1" applyBorder="1" applyAlignment="1">
      <alignment horizontal="right" wrapText="1"/>
    </xf>
    <xf numFmtId="38" fontId="1" fillId="0" borderId="17" xfId="0" applyNumberFormat="1" applyFont="1" applyFill="1" applyBorder="1" applyAlignment="1">
      <alignment/>
    </xf>
    <xf numFmtId="180" fontId="0" fillId="2" borderId="10" xfId="15" applyNumberFormat="1" applyFont="1" applyFill="1" applyBorder="1" applyAlignment="1">
      <alignment horizontal="center"/>
    </xf>
    <xf numFmtId="43" fontId="0" fillId="0" borderId="0" xfId="15" applyFill="1" applyAlignment="1">
      <alignment/>
    </xf>
    <xf numFmtId="166" fontId="0" fillId="4" borderId="1" xfId="15" applyNumberFormat="1" applyFill="1" applyBorder="1" applyAlignment="1">
      <alignment/>
    </xf>
    <xf numFmtId="43" fontId="1" fillId="0" borderId="0" xfId="15" applyFont="1" applyFill="1" applyBorder="1" applyAlignment="1">
      <alignment/>
    </xf>
    <xf numFmtId="6" fontId="0" fillId="0" borderId="0" xfId="0" applyNumberFormat="1" applyFill="1" applyBorder="1" applyAlignment="1">
      <alignment/>
    </xf>
    <xf numFmtId="38" fontId="1" fillId="3" borderId="5" xfId="15" applyNumberFormat="1" applyFont="1" applyFill="1" applyBorder="1" applyAlignment="1">
      <alignment horizontal="right"/>
    </xf>
    <xf numFmtId="0" fontId="19" fillId="0" borderId="1" xfId="0" applyFont="1" applyFill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177" fontId="0" fillId="0" borderId="1" xfId="0" applyNumberFormat="1" applyFill="1" applyBorder="1" applyAlignment="1">
      <alignment horizontal="center"/>
    </xf>
    <xf numFmtId="166" fontId="0" fillId="0" borderId="12" xfId="15" applyNumberFormat="1" applyFill="1" applyBorder="1" applyAlignment="1">
      <alignment horizontal="right"/>
    </xf>
    <xf numFmtId="166" fontId="0" fillId="0" borderId="1" xfId="15" applyNumberFormat="1" applyFont="1" applyFill="1" applyBorder="1" applyAlignment="1">
      <alignment horizontal="right"/>
    </xf>
    <xf numFmtId="184" fontId="0" fillId="0" borderId="0" xfId="17" applyNumberFormat="1" applyFill="1" applyBorder="1" applyAlignment="1">
      <alignment horizontal="right"/>
    </xf>
    <xf numFmtId="8" fontId="0" fillId="0" borderId="0" xfId="17" applyNumberFormat="1" applyFill="1" applyBorder="1" applyAlignment="1">
      <alignment horizontal="right"/>
    </xf>
    <xf numFmtId="8" fontId="0" fillId="0" borderId="0" xfId="15" applyNumberFormat="1" applyFill="1" applyBorder="1" applyAlignment="1">
      <alignment horizontal="right"/>
    </xf>
    <xf numFmtId="43" fontId="0" fillId="0" borderId="0" xfId="15" applyFont="1" applyFill="1" applyBorder="1" applyAlignment="1">
      <alignment horizontal="right"/>
    </xf>
    <xf numFmtId="0" fontId="1" fillId="0" borderId="0" xfId="0" applyFont="1" applyFill="1" applyAlignment="1">
      <alignment horizontal="right"/>
    </xf>
    <xf numFmtId="0" fontId="0" fillId="14" borderId="1" xfId="0" applyFill="1" applyBorder="1" applyAlignment="1">
      <alignment horizontal="center" vertical="center" wrapText="1"/>
    </xf>
    <xf numFmtId="9" fontId="0" fillId="0" borderId="0" xfId="21" applyFill="1" applyBorder="1" applyAlignment="1">
      <alignment horizontal="right"/>
    </xf>
    <xf numFmtId="6" fontId="0" fillId="0" borderId="0" xfId="17" applyNumberFormat="1" applyFont="1" applyFill="1" applyBorder="1" applyAlignment="1">
      <alignment horizontal="right"/>
    </xf>
    <xf numFmtId="8" fontId="0" fillId="0" borderId="0" xfId="0" applyNumberFormat="1" applyFill="1" applyBorder="1" applyAlignment="1">
      <alignment horizontal="right"/>
    </xf>
    <xf numFmtId="43" fontId="0" fillId="0" borderId="0" xfId="0" applyNumberFormat="1" applyFill="1" applyBorder="1" applyAlignment="1">
      <alignment/>
    </xf>
    <xf numFmtId="0" fontId="17" fillId="0" borderId="0" xfId="0" applyFont="1" applyFill="1" applyAlignment="1">
      <alignment vertical="center" wrapText="1"/>
    </xf>
    <xf numFmtId="177" fontId="0" fillId="5" borderId="10" xfId="0" applyNumberFormat="1" applyFill="1" applyBorder="1" applyAlignment="1">
      <alignment horizontal="center"/>
    </xf>
    <xf numFmtId="38" fontId="0" fillId="5" borderId="1" xfId="0" applyNumberFormat="1" applyFont="1" applyFill="1" applyBorder="1" applyAlignment="1">
      <alignment/>
    </xf>
    <xf numFmtId="38" fontId="1" fillId="0" borderId="0" xfId="15" applyNumberFormat="1" applyFont="1" applyFill="1" applyBorder="1" applyAlignment="1">
      <alignment horizontal="right"/>
    </xf>
    <xf numFmtId="8" fontId="0" fillId="0" borderId="9" xfId="0" applyNumberFormat="1" applyFill="1" applyBorder="1" applyAlignment="1">
      <alignment/>
    </xf>
    <xf numFmtId="38" fontId="1" fillId="0" borderId="14" xfId="15" applyNumberFormat="1" applyFont="1" applyBorder="1" applyAlignment="1">
      <alignment horizontal="right"/>
    </xf>
    <xf numFmtId="166" fontId="1" fillId="0" borderId="14" xfId="15" applyNumberFormat="1" applyFont="1" applyBorder="1" applyAlignment="1">
      <alignment horizontal="right"/>
    </xf>
    <xf numFmtId="0" fontId="11" fillId="11" borderId="0" xfId="0" applyFont="1" applyFill="1" applyAlignment="1">
      <alignment horizontal="left" vertical="center" wrapText="1"/>
    </xf>
    <xf numFmtId="166" fontId="0" fillId="2" borderId="12" xfId="15" applyNumberFormat="1" applyFill="1" applyBorder="1" applyAlignment="1">
      <alignment horizontal="right"/>
    </xf>
    <xf numFmtId="166" fontId="0" fillId="0" borderId="1" xfId="15" applyNumberFormat="1" applyBorder="1" applyAlignment="1">
      <alignment horizontal="right"/>
    </xf>
    <xf numFmtId="166" fontId="0" fillId="0" borderId="5" xfId="15" applyNumberFormat="1" applyFill="1" applyBorder="1" applyAlignment="1">
      <alignment horizontal="right"/>
    </xf>
    <xf numFmtId="166" fontId="0" fillId="0" borderId="11" xfId="15" applyNumberFormat="1" applyFill="1" applyBorder="1" applyAlignment="1">
      <alignment horizontal="right"/>
    </xf>
    <xf numFmtId="166" fontId="0" fillId="0" borderId="3" xfId="15" applyNumberFormat="1" applyFill="1" applyBorder="1" applyAlignment="1">
      <alignment horizontal="center"/>
    </xf>
    <xf numFmtId="166" fontId="0" fillId="0" borderId="3" xfId="15" applyNumberFormat="1" applyFill="1" applyBorder="1" applyAlignment="1">
      <alignment horizontal="right"/>
    </xf>
    <xf numFmtId="166" fontId="0" fillId="5" borderId="11" xfId="15" applyNumberFormat="1" applyFill="1" applyBorder="1" applyAlignment="1">
      <alignment horizontal="right"/>
    </xf>
    <xf numFmtId="166" fontId="0" fillId="0" borderId="3" xfId="15" applyNumberFormat="1" applyBorder="1" applyAlignment="1">
      <alignment horizontal="right"/>
    </xf>
    <xf numFmtId="166" fontId="1" fillId="2" borderId="1" xfId="15" applyNumberFormat="1" applyFont="1" applyFill="1" applyBorder="1" applyAlignment="1">
      <alignment horizontal="center"/>
    </xf>
    <xf numFmtId="166" fontId="1" fillId="0" borderId="1" xfId="15" applyNumberFormat="1" applyFont="1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38" fontId="1" fillId="4" borderId="0" xfId="0" applyNumberFormat="1" applyFont="1" applyFill="1" applyBorder="1" applyAlignment="1">
      <alignment/>
    </xf>
    <xf numFmtId="166" fontId="1" fillId="0" borderId="0" xfId="15" applyNumberFormat="1" applyFont="1" applyFill="1" applyBorder="1" applyAlignment="1">
      <alignment/>
    </xf>
    <xf numFmtId="166" fontId="0" fillId="0" borderId="0" xfId="15" applyNumberForma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16" borderId="1" xfId="0" applyFill="1" applyBorder="1" applyAlignment="1">
      <alignment horizontal="center" vertical="center" wrapText="1"/>
    </xf>
    <xf numFmtId="38" fontId="1" fillId="0" borderId="4" xfId="15" applyNumberFormat="1" applyFont="1" applyFill="1" applyBorder="1" applyAlignment="1">
      <alignment horizontal="right"/>
    </xf>
    <xf numFmtId="6" fontId="0" fillId="0" borderId="0" xfId="17" applyNumberFormat="1" applyFill="1" applyAlignment="1">
      <alignment/>
    </xf>
    <xf numFmtId="166" fontId="0" fillId="0" borderId="0" xfId="15" applyNumberFormat="1" applyFill="1" applyAlignment="1">
      <alignment horizontal="right" indent="1"/>
    </xf>
    <xf numFmtId="166" fontId="0" fillId="0" borderId="0" xfId="15" applyNumberFormat="1" applyFill="1" applyBorder="1" applyAlignment="1">
      <alignment horizontal="left" indent="1"/>
    </xf>
    <xf numFmtId="9" fontId="0" fillId="5" borderId="11" xfId="21" applyFill="1" applyBorder="1" applyAlignment="1">
      <alignment horizontal="right"/>
    </xf>
    <xf numFmtId="43" fontId="0" fillId="0" borderId="5" xfId="0" applyNumberFormat="1" applyFill="1" applyBorder="1" applyAlignment="1">
      <alignment/>
    </xf>
    <xf numFmtId="43" fontId="0" fillId="0" borderId="18" xfId="15" applyFill="1" applyBorder="1" applyAlignment="1">
      <alignment/>
    </xf>
    <xf numFmtId="6" fontId="0" fillId="0" borderId="14" xfId="17" applyNumberFormat="1" applyFill="1" applyBorder="1" applyAlignment="1">
      <alignment/>
    </xf>
    <xf numFmtId="6" fontId="0" fillId="0" borderId="0" xfId="17" applyNumberFormat="1" applyFont="1" applyFill="1" applyAlignment="1">
      <alignment horizontal="right"/>
    </xf>
    <xf numFmtId="166" fontId="1" fillId="0" borderId="0" xfId="15" applyNumberFormat="1" applyFont="1" applyFill="1" applyBorder="1" applyAlignment="1">
      <alignment horizontal="center"/>
    </xf>
    <xf numFmtId="0" fontId="13" fillId="11" borderId="7" xfId="0" applyFont="1" applyFill="1" applyBorder="1" applyAlignment="1">
      <alignment horizontal="right" indent="1"/>
    </xf>
    <xf numFmtId="166" fontId="0" fillId="0" borderId="1" xfId="15" applyNumberFormat="1" applyFont="1" applyFill="1" applyBorder="1" applyAlignment="1">
      <alignment horizontal="left"/>
    </xf>
    <xf numFmtId="0" fontId="0" fillId="6" borderId="0" xfId="0" applyFill="1" applyBorder="1" applyAlignment="1">
      <alignment/>
    </xf>
    <xf numFmtId="0" fontId="5" fillId="6" borderId="0" xfId="0" applyFont="1" applyFill="1" applyBorder="1" applyAlignment="1">
      <alignment horizontal="left"/>
    </xf>
    <xf numFmtId="0" fontId="0" fillId="0" borderId="11" xfId="0" applyFill="1" applyBorder="1" applyAlignment="1">
      <alignment/>
    </xf>
    <xf numFmtId="166" fontId="0" fillId="0" borderId="2" xfId="15" applyNumberFormat="1" applyFill="1" applyBorder="1" applyAlignment="1">
      <alignment horizontal="center"/>
    </xf>
    <xf numFmtId="0" fontId="0" fillId="0" borderId="2" xfId="0" applyFill="1" applyBorder="1" applyAlignment="1">
      <alignment/>
    </xf>
    <xf numFmtId="38" fontId="0" fillId="0" borderId="2" xfId="0" applyNumberFormat="1" applyFill="1" applyBorder="1" applyAlignment="1">
      <alignment horizontal="right"/>
    </xf>
    <xf numFmtId="166" fontId="0" fillId="0" borderId="2" xfId="15" applyNumberFormat="1" applyFont="1" applyFill="1" applyBorder="1" applyAlignment="1">
      <alignment horizontal="right"/>
    </xf>
    <xf numFmtId="43" fontId="0" fillId="0" borderId="1" xfId="15" applyNumberFormat="1" applyFill="1" applyBorder="1" applyAlignment="1">
      <alignment horizontal="center"/>
    </xf>
    <xf numFmtId="43" fontId="0" fillId="0" borderId="1" xfId="0" applyNumberFormat="1" applyFill="1" applyBorder="1" applyAlignment="1">
      <alignment/>
    </xf>
    <xf numFmtId="43" fontId="0" fillId="0" borderId="1" xfId="0" applyNumberFormat="1" applyFill="1" applyBorder="1" applyAlignment="1">
      <alignment horizontal="right"/>
    </xf>
    <xf numFmtId="43" fontId="0" fillId="0" borderId="5" xfId="15" applyNumberFormat="1" applyFill="1" applyBorder="1" applyAlignment="1">
      <alignment horizontal="center"/>
    </xf>
    <xf numFmtId="43" fontId="0" fillId="0" borderId="1" xfId="15" applyNumberFormat="1" applyFont="1" applyFill="1" applyBorder="1" applyAlignment="1">
      <alignment horizontal="right"/>
    </xf>
    <xf numFmtId="43" fontId="0" fillId="0" borderId="2" xfId="15" applyNumberFormat="1" applyFill="1" applyBorder="1" applyAlignment="1">
      <alignment horizontal="center"/>
    </xf>
    <xf numFmtId="43" fontId="0" fillId="0" borderId="2" xfId="0" applyNumberFormat="1" applyFill="1" applyBorder="1" applyAlignment="1">
      <alignment/>
    </xf>
    <xf numFmtId="43" fontId="0" fillId="0" borderId="2" xfId="0" applyNumberFormat="1" applyFill="1" applyBorder="1" applyAlignment="1">
      <alignment horizontal="right"/>
    </xf>
    <xf numFmtId="43" fontId="0" fillId="0" borderId="0" xfId="15" applyNumberFormat="1" applyFill="1" applyBorder="1" applyAlignment="1">
      <alignment horizontal="center"/>
    </xf>
    <xf numFmtId="43" fontId="0" fillId="0" borderId="2" xfId="15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38" fontId="1" fillId="6" borderId="5" xfId="15" applyNumberFormat="1" applyFont="1" applyFill="1" applyBorder="1" applyAlignment="1">
      <alignment horizontal="right"/>
    </xf>
    <xf numFmtId="38" fontId="1" fillId="4" borderId="5" xfId="15" applyNumberFormat="1" applyFont="1" applyFill="1" applyBorder="1" applyAlignment="1">
      <alignment horizontal="right"/>
    </xf>
    <xf numFmtId="6" fontId="1" fillId="0" borderId="3" xfId="17" applyNumberFormat="1" applyFont="1" applyFill="1" applyBorder="1" applyAlignment="1">
      <alignment/>
    </xf>
    <xf numFmtId="6" fontId="1" fillId="0" borderId="0" xfId="17" applyNumberFormat="1" applyFont="1" applyFill="1" applyAlignment="1">
      <alignment horizontal="right"/>
    </xf>
    <xf numFmtId="6" fontId="1" fillId="0" borderId="14" xfId="17" applyNumberFormat="1" applyFont="1" applyFill="1" applyBorder="1" applyAlignment="1">
      <alignment/>
    </xf>
    <xf numFmtId="43" fontId="0" fillId="0" borderId="11" xfId="15" applyFill="1" applyBorder="1" applyAlignment="1">
      <alignment/>
    </xf>
    <xf numFmtId="43" fontId="0" fillId="0" borderId="11" xfId="0" applyNumberFormat="1" applyFill="1" applyBorder="1" applyAlignment="1">
      <alignment/>
    </xf>
    <xf numFmtId="43" fontId="0" fillId="0" borderId="5" xfId="15" applyFill="1" applyBorder="1" applyAlignment="1">
      <alignment/>
    </xf>
    <xf numFmtId="43" fontId="0" fillId="0" borderId="5" xfId="0" applyNumberFormat="1" applyFill="1" applyBorder="1" applyAlignment="1">
      <alignment horizontal="left" indent="1"/>
    </xf>
    <xf numFmtId="43" fontId="0" fillId="0" borderId="12" xfId="15" applyFill="1" applyBorder="1" applyAlignment="1">
      <alignment/>
    </xf>
    <xf numFmtId="43" fontId="0" fillId="0" borderId="12" xfId="0" applyNumberFormat="1" applyFill="1" applyBorder="1" applyAlignment="1">
      <alignment horizontal="left" indent="1"/>
    </xf>
    <xf numFmtId="43" fontId="0" fillId="0" borderId="12" xfId="0" applyNumberFormat="1" applyFill="1" applyBorder="1" applyAlignment="1">
      <alignment/>
    </xf>
    <xf numFmtId="0" fontId="0" fillId="0" borderId="5" xfId="0" applyFill="1" applyBorder="1" applyAlignment="1">
      <alignment/>
    </xf>
    <xf numFmtId="9" fontId="0" fillId="5" borderId="1" xfId="21" applyFill="1" applyBorder="1" applyAlignment="1">
      <alignment horizontal="right"/>
    </xf>
    <xf numFmtId="9" fontId="0" fillId="6" borderId="1" xfId="21" applyFont="1" applyFill="1" applyBorder="1" applyAlignment="1">
      <alignment horizontal="center"/>
    </xf>
    <xf numFmtId="12" fontId="0" fillId="6" borderId="1" xfId="21" applyNumberFormat="1" applyFont="1" applyFill="1" applyBorder="1" applyAlignment="1" quotePrefix="1">
      <alignment horizontal="center"/>
    </xf>
    <xf numFmtId="12" fontId="0" fillId="6" borderId="1" xfId="21" applyNumberFormat="1" applyFont="1" applyFill="1" applyBorder="1" applyAlignment="1">
      <alignment horizontal="center"/>
    </xf>
    <xf numFmtId="38" fontId="0" fillId="0" borderId="0" xfId="15" applyNumberFormat="1" applyBorder="1" applyAlignment="1">
      <alignment horizontal="right"/>
    </xf>
    <xf numFmtId="177" fontId="0" fillId="5" borderId="0" xfId="0" applyNumberFormat="1" applyFill="1" applyBorder="1" applyAlignment="1">
      <alignment horizontal="center"/>
    </xf>
    <xf numFmtId="0" fontId="0" fillId="17" borderId="1" xfId="0" applyFill="1" applyBorder="1" applyAlignment="1">
      <alignment horizontal="center" vertical="center" wrapText="1"/>
    </xf>
    <xf numFmtId="180" fontId="0" fillId="2" borderId="2" xfId="15" applyNumberFormat="1" applyFill="1" applyBorder="1" applyAlignment="1">
      <alignment horizontal="center"/>
    </xf>
    <xf numFmtId="166" fontId="0" fillId="0" borderId="1" xfId="15" applyNumberFormat="1" applyBorder="1" applyAlignment="1">
      <alignment horizontal="center"/>
    </xf>
    <xf numFmtId="0" fontId="1" fillId="0" borderId="0" xfId="0" applyFont="1" applyFill="1" applyBorder="1" applyAlignment="1">
      <alignment wrapText="1"/>
    </xf>
    <xf numFmtId="0" fontId="1" fillId="18" borderId="0" xfId="0" applyFont="1" applyFill="1" applyBorder="1" applyAlignment="1">
      <alignment horizontal="right" wrapText="1"/>
    </xf>
    <xf numFmtId="166" fontId="0" fillId="0" borderId="9" xfId="15" applyNumberFormat="1" applyBorder="1" applyAlignment="1">
      <alignment/>
    </xf>
    <xf numFmtId="0" fontId="10" fillId="18" borderId="1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166" fontId="0" fillId="5" borderId="1" xfId="15" applyNumberFormat="1" applyFill="1" applyBorder="1" applyAlignment="1">
      <alignment horizontal="center"/>
    </xf>
    <xf numFmtId="8" fontId="0" fillId="0" borderId="0" xfId="17" applyNumberFormat="1" applyFill="1" applyAlignment="1">
      <alignment horizontal="right"/>
    </xf>
    <xf numFmtId="0" fontId="0" fillId="4" borderId="1" xfId="0" applyFill="1" applyBorder="1" applyAlignment="1">
      <alignment horizontal="center"/>
    </xf>
    <xf numFmtId="170" fontId="0" fillId="0" borderId="18" xfId="15" applyNumberFormat="1" applyFill="1" applyBorder="1" applyAlignment="1">
      <alignment/>
    </xf>
    <xf numFmtId="38" fontId="0" fillId="2" borderId="0" xfId="0" applyNumberFormat="1" applyFont="1" applyFill="1" applyBorder="1" applyAlignment="1">
      <alignment/>
    </xf>
    <xf numFmtId="38" fontId="0" fillId="0" borderId="9" xfId="15" applyNumberFormat="1" applyFill="1" applyBorder="1" applyAlignment="1">
      <alignment horizontal="right"/>
    </xf>
    <xf numFmtId="0" fontId="20" fillId="0" borderId="0" xfId="0" applyFont="1" applyFill="1" applyBorder="1" applyAlignment="1">
      <alignment horizontal="right"/>
    </xf>
    <xf numFmtId="43" fontId="0" fillId="2" borderId="1" xfId="0" applyNumberFormat="1" applyFill="1" applyBorder="1" applyAlignment="1">
      <alignment/>
    </xf>
    <xf numFmtId="43" fontId="0" fillId="5" borderId="1" xfId="0" applyNumberFormat="1" applyFill="1" applyBorder="1" applyAlignment="1">
      <alignment/>
    </xf>
    <xf numFmtId="166" fontId="0" fillId="2" borderId="0" xfId="15" applyNumberFormat="1" applyFill="1" applyBorder="1" applyAlignment="1">
      <alignment horizontal="right"/>
    </xf>
    <xf numFmtId="6" fontId="0" fillId="0" borderId="0" xfId="17" applyNumberFormat="1" applyFont="1" applyFill="1" applyAlignment="1">
      <alignment/>
    </xf>
    <xf numFmtId="166" fontId="1" fillId="0" borderId="3" xfId="15" applyNumberFormat="1" applyFont="1" applyFill="1" applyBorder="1" applyAlignment="1">
      <alignment horizontal="right" indent="1"/>
    </xf>
    <xf numFmtId="166" fontId="0" fillId="0" borderId="9" xfId="15" applyNumberFormat="1" applyFill="1" applyBorder="1" applyAlignment="1">
      <alignment horizontal="right" indent="1"/>
    </xf>
    <xf numFmtId="0" fontId="16" fillId="5" borderId="0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" fillId="13" borderId="0" xfId="0" applyFont="1" applyFill="1" applyBorder="1" applyAlignment="1">
      <alignment horizontal="left"/>
    </xf>
    <xf numFmtId="0" fontId="1" fillId="8" borderId="0" xfId="0" applyFont="1" applyFill="1" applyBorder="1" applyAlignment="1">
      <alignment horizontal="left"/>
    </xf>
    <xf numFmtId="0" fontId="1" fillId="18" borderId="0" xfId="0" applyFont="1" applyFill="1" applyBorder="1" applyAlignment="1">
      <alignment horizontal="left" wrapText="1"/>
    </xf>
    <xf numFmtId="0" fontId="11" fillId="11" borderId="0" xfId="0" applyFont="1" applyFill="1" applyBorder="1" applyAlignment="1">
      <alignment horizontal="left"/>
    </xf>
    <xf numFmtId="0" fontId="1" fillId="10" borderId="0" xfId="0" applyFont="1" applyFill="1" applyBorder="1" applyAlignment="1">
      <alignment horizontal="left"/>
    </xf>
    <xf numFmtId="0" fontId="1" fillId="7" borderId="0" xfId="0" applyFont="1" applyFill="1" applyBorder="1" applyAlignment="1">
      <alignment horizontal="left"/>
    </xf>
    <xf numFmtId="0" fontId="11" fillId="14" borderId="0" xfId="0" applyFont="1" applyFill="1" applyBorder="1" applyAlignment="1">
      <alignment horizontal="left"/>
    </xf>
    <xf numFmtId="38" fontId="1" fillId="6" borderId="18" xfId="15" applyNumberFormat="1" applyFont="1" applyFill="1" applyBorder="1" applyAlignment="1">
      <alignment horizontal="center"/>
    </xf>
    <xf numFmtId="38" fontId="1" fillId="6" borderId="14" xfId="15" applyNumberFormat="1" applyFont="1" applyFill="1" applyBorder="1" applyAlignment="1">
      <alignment horizontal="center"/>
    </xf>
    <xf numFmtId="38" fontId="1" fillId="6" borderId="19" xfId="15" applyNumberFormat="1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 vertical="center" textRotation="90" wrapText="1"/>
    </xf>
    <xf numFmtId="0" fontId="7" fillId="0" borderId="5" xfId="0" applyFont="1" applyFill="1" applyBorder="1" applyAlignment="1">
      <alignment horizontal="center" vertical="center" textRotation="90" wrapText="1"/>
    </xf>
    <xf numFmtId="0" fontId="7" fillId="0" borderId="12" xfId="0" applyFont="1" applyFill="1" applyBorder="1" applyAlignment="1">
      <alignment horizontal="center" vertical="center" textRotation="90" wrapText="1"/>
    </xf>
    <xf numFmtId="0" fontId="17" fillId="5" borderId="0" xfId="0" applyFont="1" applyFill="1" applyAlignment="1">
      <alignment horizontal="right" vertical="center" wrapText="1"/>
    </xf>
    <xf numFmtId="0" fontId="1" fillId="0" borderId="9" xfId="0" applyFont="1" applyFill="1" applyBorder="1" applyAlignment="1">
      <alignment horizontal="center"/>
    </xf>
    <xf numFmtId="38" fontId="1" fillId="4" borderId="20" xfId="0" applyNumberFormat="1" applyFont="1" applyFill="1" applyBorder="1" applyAlignment="1">
      <alignment horizontal="center"/>
    </xf>
    <xf numFmtId="38" fontId="1" fillId="4" borderId="2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 textRotation="90" wrapText="1"/>
    </xf>
    <xf numFmtId="38" fontId="1" fillId="3" borderId="22" xfId="0" applyNumberFormat="1" applyFont="1" applyFill="1" applyBorder="1" applyAlignment="1">
      <alignment horizontal="center" vertical="center"/>
    </xf>
    <xf numFmtId="38" fontId="1" fillId="3" borderId="23" xfId="0" applyNumberFormat="1" applyFont="1" applyFill="1" applyBorder="1" applyAlignment="1">
      <alignment horizontal="center" vertical="center"/>
    </xf>
    <xf numFmtId="38" fontId="1" fillId="3" borderId="24" xfId="0" applyNumberFormat="1" applyFont="1" applyFill="1" applyBorder="1" applyAlignment="1">
      <alignment horizontal="center" vertical="center"/>
    </xf>
    <xf numFmtId="38" fontId="0" fillId="7" borderId="18" xfId="0" applyNumberFormat="1" applyFill="1" applyBorder="1" applyAlignment="1">
      <alignment horizontal="center"/>
    </xf>
    <xf numFmtId="0" fontId="0" fillId="7" borderId="19" xfId="0" applyFill="1" applyBorder="1" applyAlignment="1">
      <alignment horizontal="center"/>
    </xf>
    <xf numFmtId="38" fontId="1" fillId="13" borderId="18" xfId="0" applyNumberFormat="1" applyFont="1" applyFill="1" applyBorder="1" applyAlignment="1">
      <alignment horizontal="center"/>
    </xf>
    <xf numFmtId="38" fontId="1" fillId="13" borderId="14" xfId="0" applyNumberFormat="1" applyFont="1" applyFill="1" applyBorder="1" applyAlignment="1">
      <alignment horizontal="center"/>
    </xf>
    <xf numFmtId="38" fontId="0" fillId="0" borderId="18" xfId="0" applyNumberFormat="1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16" fillId="5" borderId="0" xfId="0" applyFont="1" applyFill="1" applyAlignment="1">
      <alignment horizontal="center" vertical="center" wrapText="1"/>
    </xf>
    <xf numFmtId="0" fontId="8" fillId="0" borderId="13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0" fillId="9" borderId="1" xfId="0" applyFill="1" applyBorder="1" applyAlignment="1">
      <alignment horizontal="left" vertical="center" wrapText="1" indent="1"/>
    </xf>
    <xf numFmtId="0" fontId="1" fillId="7" borderId="1" xfId="0" applyFont="1" applyFill="1" applyBorder="1" applyAlignment="1">
      <alignment horizontal="center" vertical="center" wrapText="1"/>
    </xf>
    <xf numFmtId="0" fontId="0" fillId="7" borderId="1" xfId="0" applyFill="1" applyBorder="1" applyAlignment="1">
      <alignment horizontal="left" vertical="center" wrapText="1" indent="1"/>
    </xf>
    <xf numFmtId="0" fontId="1" fillId="18" borderId="1" xfId="0" applyFont="1" applyFill="1" applyBorder="1" applyAlignment="1">
      <alignment horizontal="center" vertical="center" wrapText="1"/>
    </xf>
    <xf numFmtId="0" fontId="0" fillId="18" borderId="1" xfId="0" applyFont="1" applyFill="1" applyBorder="1" applyAlignment="1">
      <alignment horizontal="left" vertical="center" wrapText="1" indent="1"/>
    </xf>
    <xf numFmtId="0" fontId="1" fillId="13" borderId="1" xfId="0" applyFont="1" applyFill="1" applyBorder="1" applyAlignment="1">
      <alignment horizontal="center" vertical="center" wrapText="1"/>
    </xf>
    <xf numFmtId="0" fontId="11" fillId="11" borderId="0" xfId="0" applyFont="1" applyFill="1" applyAlignment="1">
      <alignment horizontal="left" vertical="center" wrapText="1"/>
    </xf>
    <xf numFmtId="0" fontId="5" fillId="6" borderId="7" xfId="0" applyFont="1" applyFill="1" applyBorder="1" applyAlignment="1">
      <alignment horizontal="center" vertical="center" textRotation="90" wrapText="1"/>
    </xf>
    <xf numFmtId="0" fontId="1" fillId="6" borderId="1" xfId="0" applyFont="1" applyFill="1" applyBorder="1" applyAlignment="1">
      <alignment horizontal="center" vertical="center" wrapText="1"/>
    </xf>
    <xf numFmtId="44" fontId="0" fillId="0" borderId="15" xfId="17" applyBorder="1" applyAlignment="1">
      <alignment horizontal="left" vertical="center" wrapText="1"/>
    </xf>
    <xf numFmtId="44" fontId="0" fillId="0" borderId="0" xfId="17" applyBorder="1" applyAlignment="1">
      <alignment horizontal="left" vertical="center" wrapText="1"/>
    </xf>
    <xf numFmtId="0" fontId="11" fillId="16" borderId="1" xfId="0" applyFont="1" applyFill="1" applyBorder="1" applyAlignment="1">
      <alignment horizontal="center" vertical="center"/>
    </xf>
    <xf numFmtId="0" fontId="0" fillId="6" borderId="1" xfId="0" applyFill="1" applyBorder="1" applyAlignment="1">
      <alignment horizontal="left" vertical="center" wrapText="1" indent="1"/>
    </xf>
    <xf numFmtId="0" fontId="1" fillId="8" borderId="1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center" vertical="center" wrapText="1"/>
    </xf>
    <xf numFmtId="0" fontId="0" fillId="8" borderId="1" xfId="0" applyFill="1" applyBorder="1" applyAlignment="1">
      <alignment horizontal="left" vertical="center" wrapText="1" indent="1"/>
    </xf>
    <xf numFmtId="0" fontId="1" fillId="12" borderId="1" xfId="0" applyFont="1" applyFill="1" applyBorder="1" applyAlignment="1">
      <alignment horizontal="center" vertical="center" wrapText="1"/>
    </xf>
    <xf numFmtId="0" fontId="11" fillId="11" borderId="1" xfId="0" applyFont="1" applyFill="1" applyBorder="1" applyAlignment="1">
      <alignment horizontal="center" vertical="center" wrapText="1"/>
    </xf>
    <xf numFmtId="0" fontId="13" fillId="14" borderId="1" xfId="0" applyFont="1" applyFill="1" applyBorder="1" applyAlignment="1">
      <alignment horizontal="left" vertical="center" wrapText="1" indent="1"/>
    </xf>
    <xf numFmtId="0" fontId="1" fillId="10" borderId="1" xfId="0" applyFont="1" applyFill="1" applyBorder="1" applyAlignment="1">
      <alignment horizontal="center" vertical="center" wrapText="1"/>
    </xf>
    <xf numFmtId="0" fontId="0" fillId="10" borderId="1" xfId="0" applyFill="1" applyBorder="1" applyAlignment="1">
      <alignment horizontal="left" vertical="center" wrapText="1" indent="1"/>
    </xf>
    <xf numFmtId="0" fontId="13" fillId="11" borderId="1" xfId="0" applyFont="1" applyFill="1" applyBorder="1" applyAlignment="1">
      <alignment horizontal="left" vertical="center" wrapText="1" indent="1"/>
    </xf>
    <xf numFmtId="0" fontId="0" fillId="2" borderId="25" xfId="0" applyFill="1" applyBorder="1" applyAlignment="1">
      <alignment horizontal="center" vertical="center" textRotation="90" wrapText="1"/>
    </xf>
    <xf numFmtId="0" fontId="0" fillId="2" borderId="15" xfId="0" applyFill="1" applyBorder="1" applyAlignment="1">
      <alignment horizontal="center" vertical="center" textRotation="90" wrapText="1"/>
    </xf>
    <xf numFmtId="0" fontId="5" fillId="3" borderId="3" xfId="0" applyFont="1" applyFill="1" applyBorder="1" applyAlignment="1">
      <alignment horizontal="center" vertical="center" textRotation="90" wrapText="1"/>
    </xf>
    <xf numFmtId="0" fontId="5" fillId="3" borderId="0" xfId="0" applyFont="1" applyFill="1" applyBorder="1" applyAlignment="1">
      <alignment horizontal="center" vertical="center" textRotation="90" wrapText="1"/>
    </xf>
    <xf numFmtId="0" fontId="5" fillId="4" borderId="3" xfId="0" applyFont="1" applyFill="1" applyBorder="1" applyAlignment="1">
      <alignment horizontal="center" vertical="center" textRotation="90" wrapText="1"/>
    </xf>
    <xf numFmtId="0" fontId="5" fillId="4" borderId="0" xfId="0" applyFont="1" applyFill="1" applyBorder="1" applyAlignment="1">
      <alignment horizontal="center" vertical="center" textRotation="90" wrapText="1"/>
    </xf>
    <xf numFmtId="0" fontId="0" fillId="13" borderId="1" xfId="0" applyFill="1" applyBorder="1" applyAlignment="1">
      <alignment horizontal="left" vertical="center" wrapText="1" indent="1"/>
    </xf>
    <xf numFmtId="0" fontId="0" fillId="12" borderId="13" xfId="0" applyFill="1" applyBorder="1" applyAlignment="1">
      <alignment horizontal="left" vertical="center" wrapText="1" indent="1"/>
    </xf>
    <xf numFmtId="0" fontId="0" fillId="12" borderId="2" xfId="0" applyFill="1" applyBorder="1" applyAlignment="1">
      <alignment horizontal="left" vertical="center" wrapText="1" indent="1"/>
    </xf>
    <xf numFmtId="0" fontId="0" fillId="12" borderId="10" xfId="0" applyFill="1" applyBorder="1" applyAlignment="1">
      <alignment horizontal="left" vertical="center" wrapText="1" indent="1"/>
    </xf>
    <xf numFmtId="0" fontId="11" fillId="14" borderId="1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ill>
        <patternFill>
          <bgColor rgb="FFCC99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9525</xdr:colOff>
      <xdr:row>32</xdr:row>
      <xdr:rowOff>104775</xdr:rowOff>
    </xdr:from>
    <xdr:to>
      <xdr:col>21</xdr:col>
      <xdr:colOff>838200</xdr:colOff>
      <xdr:row>36</xdr:row>
      <xdr:rowOff>0</xdr:rowOff>
    </xdr:to>
    <xdr:sp>
      <xdr:nvSpPr>
        <xdr:cNvPr id="1" name="TextBox 23"/>
        <xdr:cNvSpPr txBox="1">
          <a:spLocks noChangeArrowheads="1"/>
        </xdr:cNvSpPr>
      </xdr:nvSpPr>
      <xdr:spPr>
        <a:xfrm>
          <a:off x="18897600" y="6743700"/>
          <a:ext cx="828675" cy="657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Number of employees based on SAP</a:t>
          </a:r>
        </a:p>
      </xdr:txBody>
    </xdr:sp>
    <xdr:clientData/>
  </xdr:twoCellAnchor>
  <xdr:twoCellAnchor>
    <xdr:from>
      <xdr:col>14</xdr:col>
      <xdr:colOff>161925</xdr:colOff>
      <xdr:row>32</xdr:row>
      <xdr:rowOff>104775</xdr:rowOff>
    </xdr:from>
    <xdr:to>
      <xdr:col>14</xdr:col>
      <xdr:colOff>866775</xdr:colOff>
      <xdr:row>34</xdr:row>
      <xdr:rowOff>38100</xdr:rowOff>
    </xdr:to>
    <xdr:sp>
      <xdr:nvSpPr>
        <xdr:cNvPr id="2" name="TextBox 24"/>
        <xdr:cNvSpPr txBox="1">
          <a:spLocks noChangeArrowheads="1"/>
        </xdr:cNvSpPr>
      </xdr:nvSpPr>
      <xdr:spPr>
        <a:xfrm>
          <a:off x="12449175" y="6743700"/>
          <a:ext cx="704850" cy="371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Device Count</a:t>
          </a:r>
        </a:p>
      </xdr:txBody>
    </xdr:sp>
    <xdr:clientData/>
  </xdr:twoCellAnchor>
  <xdr:twoCellAnchor>
    <xdr:from>
      <xdr:col>18</xdr:col>
      <xdr:colOff>180975</xdr:colOff>
      <xdr:row>33</xdr:row>
      <xdr:rowOff>114300</xdr:rowOff>
    </xdr:from>
    <xdr:to>
      <xdr:col>19</xdr:col>
      <xdr:colOff>704850</xdr:colOff>
      <xdr:row>35</xdr:row>
      <xdr:rowOff>28575</xdr:rowOff>
    </xdr:to>
    <xdr:sp>
      <xdr:nvSpPr>
        <xdr:cNvPr id="3" name="TextBox 33"/>
        <xdr:cNvSpPr txBox="1">
          <a:spLocks noChangeArrowheads="1"/>
        </xdr:cNvSpPr>
      </xdr:nvSpPr>
      <xdr:spPr>
        <a:xfrm>
          <a:off x="16259175" y="6972300"/>
          <a:ext cx="1466850" cy="295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Used for Program Offer</a:t>
          </a:r>
        </a:p>
      </xdr:txBody>
    </xdr:sp>
    <xdr:clientData/>
  </xdr:twoCellAnchor>
  <xdr:twoCellAnchor>
    <xdr:from>
      <xdr:col>11</xdr:col>
      <xdr:colOff>161925</xdr:colOff>
      <xdr:row>32</xdr:row>
      <xdr:rowOff>171450</xdr:rowOff>
    </xdr:from>
    <xdr:to>
      <xdr:col>11</xdr:col>
      <xdr:colOff>819150</xdr:colOff>
      <xdr:row>34</xdr:row>
      <xdr:rowOff>114300</xdr:rowOff>
    </xdr:to>
    <xdr:sp>
      <xdr:nvSpPr>
        <xdr:cNvPr id="4" name="TextBox 38"/>
        <xdr:cNvSpPr txBox="1">
          <a:spLocks noChangeArrowheads="1"/>
        </xdr:cNvSpPr>
      </xdr:nvSpPr>
      <xdr:spPr>
        <a:xfrm>
          <a:off x="9553575" y="6810375"/>
          <a:ext cx="657225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Planview Data</a:t>
          </a:r>
        </a:p>
      </xdr:txBody>
    </xdr:sp>
    <xdr:clientData/>
  </xdr:twoCellAnchor>
  <xdr:twoCellAnchor>
    <xdr:from>
      <xdr:col>20</xdr:col>
      <xdr:colOff>66675</xdr:colOff>
      <xdr:row>32</xdr:row>
      <xdr:rowOff>66675</xdr:rowOff>
    </xdr:from>
    <xdr:to>
      <xdr:col>20</xdr:col>
      <xdr:colOff>904875</xdr:colOff>
      <xdr:row>33</xdr:row>
      <xdr:rowOff>57150</xdr:rowOff>
    </xdr:to>
    <xdr:sp>
      <xdr:nvSpPr>
        <xdr:cNvPr id="5" name="TextBox 54"/>
        <xdr:cNvSpPr txBox="1">
          <a:spLocks noChangeArrowheads="1"/>
        </xdr:cNvSpPr>
      </xdr:nvSpPr>
      <xdr:spPr>
        <a:xfrm>
          <a:off x="18002250" y="6705600"/>
          <a:ext cx="8382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Device Count</a:t>
          </a:r>
        </a:p>
      </xdr:txBody>
    </xdr:sp>
    <xdr:clientData/>
  </xdr:twoCellAnchor>
  <xdr:twoCellAnchor>
    <xdr:from>
      <xdr:col>2</xdr:col>
      <xdr:colOff>28575</xdr:colOff>
      <xdr:row>33</xdr:row>
      <xdr:rowOff>38100</xdr:rowOff>
    </xdr:from>
    <xdr:to>
      <xdr:col>9</xdr:col>
      <xdr:colOff>819150</xdr:colOff>
      <xdr:row>34</xdr:row>
      <xdr:rowOff>57150</xdr:rowOff>
    </xdr:to>
    <xdr:sp>
      <xdr:nvSpPr>
        <xdr:cNvPr id="6" name="AutoShape 55"/>
        <xdr:cNvSpPr>
          <a:spLocks/>
        </xdr:cNvSpPr>
      </xdr:nvSpPr>
      <xdr:spPr>
        <a:xfrm rot="16200000">
          <a:off x="2238375" y="6896100"/>
          <a:ext cx="7077075" cy="2381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438150</xdr:colOff>
      <xdr:row>35</xdr:row>
      <xdr:rowOff>9525</xdr:rowOff>
    </xdr:from>
    <xdr:to>
      <xdr:col>6</xdr:col>
      <xdr:colOff>752475</xdr:colOff>
      <xdr:row>36</xdr:row>
      <xdr:rowOff>0</xdr:rowOff>
    </xdr:to>
    <xdr:sp>
      <xdr:nvSpPr>
        <xdr:cNvPr id="7" name="TextBox 56"/>
        <xdr:cNvSpPr txBox="1">
          <a:spLocks noChangeArrowheads="1"/>
        </xdr:cNvSpPr>
      </xdr:nvSpPr>
      <xdr:spPr>
        <a:xfrm>
          <a:off x="4629150" y="7248525"/>
          <a:ext cx="21526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Planview Data</a:t>
          </a:r>
        </a:p>
      </xdr:txBody>
    </xdr:sp>
    <xdr:clientData/>
  </xdr:twoCellAnchor>
  <xdr:twoCellAnchor>
    <xdr:from>
      <xdr:col>15</xdr:col>
      <xdr:colOff>209550</xdr:colOff>
      <xdr:row>33</xdr:row>
      <xdr:rowOff>133350</xdr:rowOff>
    </xdr:from>
    <xdr:to>
      <xdr:col>16</xdr:col>
      <xdr:colOff>457200</xdr:colOff>
      <xdr:row>35</xdr:row>
      <xdr:rowOff>76200</xdr:rowOff>
    </xdr:to>
    <xdr:sp>
      <xdr:nvSpPr>
        <xdr:cNvPr id="8" name="TextBox 61"/>
        <xdr:cNvSpPr txBox="1">
          <a:spLocks noChangeArrowheads="1"/>
        </xdr:cNvSpPr>
      </xdr:nvSpPr>
      <xdr:spPr>
        <a:xfrm>
          <a:off x="13487400" y="6991350"/>
          <a:ext cx="1219200" cy="323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Direct Charges      + Per Circuit Charge</a:t>
          </a:r>
        </a:p>
      </xdr:txBody>
    </xdr:sp>
    <xdr:clientData/>
  </xdr:twoCellAnchor>
  <xdr:twoCellAnchor>
    <xdr:from>
      <xdr:col>13</xdr:col>
      <xdr:colOff>190500</xdr:colOff>
      <xdr:row>32</xdr:row>
      <xdr:rowOff>161925</xdr:rowOff>
    </xdr:from>
    <xdr:to>
      <xdr:col>13</xdr:col>
      <xdr:colOff>847725</xdr:colOff>
      <xdr:row>34</xdr:row>
      <xdr:rowOff>104775</xdr:rowOff>
    </xdr:to>
    <xdr:sp>
      <xdr:nvSpPr>
        <xdr:cNvPr id="9" name="TextBox 103"/>
        <xdr:cNvSpPr txBox="1">
          <a:spLocks noChangeArrowheads="1"/>
        </xdr:cNvSpPr>
      </xdr:nvSpPr>
      <xdr:spPr>
        <a:xfrm>
          <a:off x="11477625" y="6800850"/>
          <a:ext cx="657225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Planview Data</a:t>
          </a:r>
        </a:p>
      </xdr:txBody>
    </xdr:sp>
    <xdr:clientData/>
  </xdr:twoCellAnchor>
  <xdr:twoCellAnchor>
    <xdr:from>
      <xdr:col>12</xdr:col>
      <xdr:colOff>171450</xdr:colOff>
      <xdr:row>32</xdr:row>
      <xdr:rowOff>161925</xdr:rowOff>
    </xdr:from>
    <xdr:to>
      <xdr:col>12</xdr:col>
      <xdr:colOff>828675</xdr:colOff>
      <xdr:row>34</xdr:row>
      <xdr:rowOff>104775</xdr:rowOff>
    </xdr:to>
    <xdr:sp>
      <xdr:nvSpPr>
        <xdr:cNvPr id="10" name="TextBox 104"/>
        <xdr:cNvSpPr txBox="1">
          <a:spLocks noChangeArrowheads="1"/>
        </xdr:cNvSpPr>
      </xdr:nvSpPr>
      <xdr:spPr>
        <a:xfrm>
          <a:off x="10506075" y="6800850"/>
          <a:ext cx="657225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Planview Data</a:t>
          </a:r>
        </a:p>
      </xdr:txBody>
    </xdr:sp>
    <xdr:clientData/>
  </xdr:twoCellAnchor>
  <xdr:twoCellAnchor>
    <xdr:from>
      <xdr:col>23</xdr:col>
      <xdr:colOff>152400</xdr:colOff>
      <xdr:row>32</xdr:row>
      <xdr:rowOff>66675</xdr:rowOff>
    </xdr:from>
    <xdr:to>
      <xdr:col>24</xdr:col>
      <xdr:colOff>800100</xdr:colOff>
      <xdr:row>33</xdr:row>
      <xdr:rowOff>57150</xdr:rowOff>
    </xdr:to>
    <xdr:sp>
      <xdr:nvSpPr>
        <xdr:cNvPr id="11" name="TextBox 107"/>
        <xdr:cNvSpPr txBox="1">
          <a:spLocks noChangeArrowheads="1"/>
        </xdr:cNvSpPr>
      </xdr:nvSpPr>
      <xdr:spPr>
        <a:xfrm>
          <a:off x="20040600" y="6705600"/>
          <a:ext cx="15621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Device Count</a:t>
          </a:r>
        </a:p>
      </xdr:txBody>
    </xdr:sp>
    <xdr:clientData/>
  </xdr:twoCellAnchor>
  <xdr:twoCellAnchor>
    <xdr:from>
      <xdr:col>17</xdr:col>
      <xdr:colOff>76200</xdr:colOff>
      <xdr:row>32</xdr:row>
      <xdr:rowOff>85725</xdr:rowOff>
    </xdr:from>
    <xdr:to>
      <xdr:col>17</xdr:col>
      <xdr:colOff>781050</xdr:colOff>
      <xdr:row>34</xdr:row>
      <xdr:rowOff>19050</xdr:rowOff>
    </xdr:to>
    <xdr:sp>
      <xdr:nvSpPr>
        <xdr:cNvPr id="12" name="TextBox 108"/>
        <xdr:cNvSpPr txBox="1">
          <a:spLocks noChangeArrowheads="1"/>
        </xdr:cNvSpPr>
      </xdr:nvSpPr>
      <xdr:spPr>
        <a:xfrm>
          <a:off x="15240000" y="6724650"/>
          <a:ext cx="704850" cy="371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Device Count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3"/>
  <sheetViews>
    <sheetView showGridLines="0" tabSelected="1" workbookViewId="0" topLeftCell="A1">
      <pane xSplit="5" ySplit="3" topLeftCell="F4" activePane="bottomRight" state="frozen"/>
      <selection pane="topLeft" activeCell="A1" sqref="A1"/>
      <selection pane="topRight" activeCell="F1" sqref="F1"/>
      <selection pane="bottomLeft" activeCell="A4" sqref="A4"/>
      <selection pane="bottomRight" activeCell="P10" sqref="P10"/>
    </sheetView>
  </sheetViews>
  <sheetFormatPr defaultColWidth="9.140625" defaultRowHeight="12.75"/>
  <cols>
    <col min="1" max="1" width="35.140625" style="70" bestFit="1" customWidth="1"/>
    <col min="2" max="2" width="0.85546875" style="89" customWidth="1"/>
    <col min="3" max="5" width="0.85546875" style="89" hidden="1" customWidth="1"/>
    <col min="6" max="7" width="14.00390625" style="85" bestFit="1" customWidth="1"/>
    <col min="8" max="8" width="13.57421875" style="85" customWidth="1"/>
    <col min="9" max="9" width="12.28125" style="85" bestFit="1" customWidth="1"/>
    <col min="10" max="12" width="14.00390625" style="85" bestFit="1" customWidth="1"/>
    <col min="13" max="13" width="11.8515625" style="85" bestFit="1" customWidth="1"/>
    <col min="14" max="14" width="0.71875" style="85" hidden="1" customWidth="1"/>
    <col min="15" max="15" width="12.28125" style="85" bestFit="1" customWidth="1"/>
    <col min="16" max="16" width="14.00390625" style="85" bestFit="1" customWidth="1"/>
    <col min="17" max="17" width="13.57421875" style="85" bestFit="1" customWidth="1"/>
    <col min="18" max="18" width="12.28125" style="68" bestFit="1" customWidth="1"/>
    <col min="19" max="19" width="0.42578125" style="68" customWidth="1"/>
    <col min="20" max="20" width="15.00390625" style="68" bestFit="1" customWidth="1"/>
    <col min="21" max="21" width="1.1484375" style="292" customWidth="1"/>
    <col min="22" max="16384" width="9.140625" style="68" customWidth="1"/>
  </cols>
  <sheetData>
    <row r="1" spans="1:21" s="151" customFormat="1" ht="28.5" customHeight="1">
      <c r="A1" s="369" t="s">
        <v>109</v>
      </c>
      <c r="B1" s="369"/>
      <c r="C1" s="369"/>
      <c r="D1" s="369"/>
      <c r="E1" s="369"/>
      <c r="F1" s="369"/>
      <c r="G1" s="369"/>
      <c r="H1" s="369"/>
      <c r="I1" s="369"/>
      <c r="J1" s="369"/>
      <c r="K1" s="369"/>
      <c r="L1" s="369"/>
      <c r="M1" s="369"/>
      <c r="N1" s="369"/>
      <c r="O1" s="369"/>
      <c r="P1" s="369"/>
      <c r="Q1" s="369"/>
      <c r="R1" s="369"/>
      <c r="S1" s="369"/>
      <c r="T1" s="369"/>
      <c r="U1" s="291"/>
    </row>
    <row r="2" spans="1:21" s="71" customFormat="1" ht="6" customHeight="1">
      <c r="A2" s="72"/>
      <c r="B2" s="93"/>
      <c r="C2" s="93"/>
      <c r="D2" s="93"/>
      <c r="E2" s="9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U2" s="69"/>
    </row>
    <row r="3" spans="1:21" s="71" customFormat="1" ht="25.5">
      <c r="A3" s="72"/>
      <c r="B3" s="93"/>
      <c r="C3" s="93"/>
      <c r="D3" s="93"/>
      <c r="E3" s="93"/>
      <c r="F3" s="196" t="s">
        <v>53</v>
      </c>
      <c r="G3" s="196" t="s">
        <v>54</v>
      </c>
      <c r="H3" s="196" t="s">
        <v>55</v>
      </c>
      <c r="I3" s="196" t="s">
        <v>60</v>
      </c>
      <c r="J3" s="196" t="s">
        <v>56</v>
      </c>
      <c r="K3" s="196" t="s">
        <v>57</v>
      </c>
      <c r="L3" s="196" t="s">
        <v>66</v>
      </c>
      <c r="M3" s="196" t="s">
        <v>65</v>
      </c>
      <c r="N3" s="196"/>
      <c r="O3" s="196" t="s">
        <v>59</v>
      </c>
      <c r="P3" s="196" t="s">
        <v>58</v>
      </c>
      <c r="Q3" s="196" t="s">
        <v>101</v>
      </c>
      <c r="R3" s="196" t="s">
        <v>100</v>
      </c>
      <c r="S3" s="197"/>
      <c r="T3" s="196" t="s">
        <v>23</v>
      </c>
      <c r="U3" s="69"/>
    </row>
    <row r="4" spans="1:21" s="71" customFormat="1" ht="6" customHeight="1">
      <c r="A4" s="72"/>
      <c r="B4" s="93"/>
      <c r="C4" s="93"/>
      <c r="D4" s="93"/>
      <c r="E4" s="93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T4" s="212"/>
      <c r="U4" s="69"/>
    </row>
    <row r="5" spans="1:20" ht="12.75">
      <c r="A5" s="127" t="s">
        <v>61</v>
      </c>
      <c r="B5" s="17"/>
      <c r="C5" s="17"/>
      <c r="D5" s="17"/>
      <c r="E5" s="17"/>
      <c r="F5" s="94">
        <f>SUM('IT Cost Center Allocations'!$C$32:$J$32)*'Rate Calculators'!F5</f>
        <v>1592928.9392923075</v>
      </c>
      <c r="G5" s="94">
        <f>SUM('IT Cost Center Allocations'!$C$32:$J$32)*'Rate Calculators'!G5</f>
        <v>1059375.071276923</v>
      </c>
      <c r="H5" s="94">
        <f>SUM('IT Cost Center Allocations'!$C$32:$J$32)*'Rate Calculators'!H5</f>
        <v>381009.48150769225</v>
      </c>
      <c r="I5" s="94">
        <f>SUM('IT Cost Center Allocations'!$C$32:$J$32)*'Rate Calculators'!I5</f>
        <v>63970.226599999995</v>
      </c>
      <c r="J5" s="94">
        <f>SUM('IT Cost Center Allocations'!$C$32:$J$32)*'Rate Calculators'!J5</f>
        <v>224247.27786153843</v>
      </c>
      <c r="K5" s="94">
        <f>SUM('IT Cost Center Allocations'!$C$32:$J$32)*'Rate Calculators'!K5</f>
        <v>1592928.9392923075</v>
      </c>
      <c r="L5" s="94">
        <f>SUM('IT Cost Center Allocations'!$C$32:$J$32)*'Rate Calculators'!L5</f>
        <v>324068.95013846154</v>
      </c>
      <c r="M5" s="104"/>
      <c r="N5" s="104"/>
      <c r="O5" s="94">
        <f>SUM('IT Cost Center Allocations'!$C$32:$J$32)*'Rate Calculators'!O5</f>
        <v>3514.847615384615</v>
      </c>
      <c r="P5" s="94">
        <f>SUM('IT Cost Center Allocations'!$C$32:$J$32)*'Rate Calculators'!P5</f>
        <v>1259018.415830769</v>
      </c>
      <c r="Q5" s="94">
        <f>SUM('IT Cost Center Allocations'!$C$32:$J$32)*'Rate Calculators'!Q5</f>
        <v>528633.0813538461</v>
      </c>
      <c r="R5" s="104"/>
      <c r="S5" s="95"/>
      <c r="T5" s="99">
        <f>(SUM(F5:R5))</f>
        <v>7029695.230769231</v>
      </c>
    </row>
    <row r="6" spans="1:20" ht="6" customHeight="1">
      <c r="A6" s="77"/>
      <c r="B6" s="17"/>
      <c r="C6" s="17"/>
      <c r="D6" s="17"/>
      <c r="E6" s="17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5"/>
      <c r="T6" s="99"/>
    </row>
    <row r="7" spans="1:20" ht="12.75">
      <c r="A7" s="147" t="s">
        <v>2</v>
      </c>
      <c r="B7" s="17"/>
      <c r="C7" s="17"/>
      <c r="D7" s="17"/>
      <c r="E7" s="17"/>
      <c r="F7" s="109">
        <f>ROUND('Rate Calculators'!$D$7*'Rate Calculators'!F7,0)</f>
        <v>167523</v>
      </c>
      <c r="G7" s="109">
        <f>ROUND('Rate Calculators'!$D$7*'Rate Calculators'!G7,0)</f>
        <v>140163</v>
      </c>
      <c r="H7" s="109">
        <f>ROUND('Rate Calculators'!$D$7*'Rate Calculators'!H7,0)</f>
        <v>114722</v>
      </c>
      <c r="I7" s="109">
        <f>ROUND('Rate Calculators'!$D$7*'Rate Calculators'!I7,0)</f>
        <v>32641</v>
      </c>
      <c r="J7" s="109">
        <f>ROUND('Rate Calculators'!$D$7*'Rate Calculators'!J7,0)</f>
        <v>49681</v>
      </c>
      <c r="K7" s="109">
        <f>ROUND('Rate Calculators'!$D$7*'Rate Calculators'!K7,0)</f>
        <v>262325</v>
      </c>
      <c r="L7" s="109">
        <f>ROUND('Rate Calculators'!$D$7*'Rate Calculators'!L7,0)</f>
        <v>141843</v>
      </c>
      <c r="M7" s="109">
        <f>ROUND('Rate Calculators'!$D$7*'Rate Calculators'!M7,0)</f>
        <v>160323</v>
      </c>
      <c r="N7" s="109"/>
      <c r="O7" s="110"/>
      <c r="P7" s="110"/>
      <c r="Q7" s="110"/>
      <c r="R7" s="110"/>
      <c r="S7" s="108"/>
      <c r="T7" s="99">
        <f>(SUM(F7:R7))</f>
        <v>1069221</v>
      </c>
    </row>
    <row r="8" spans="1:20" ht="6" customHeight="1">
      <c r="A8" s="77"/>
      <c r="B8" s="17"/>
      <c r="C8" s="17"/>
      <c r="D8" s="17"/>
      <c r="E8" s="17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08"/>
      <c r="T8" s="108"/>
    </row>
    <row r="9" spans="1:20" ht="12.75">
      <c r="A9" s="148" t="s">
        <v>156</v>
      </c>
      <c r="B9" s="17"/>
      <c r="C9" s="17"/>
      <c r="D9" s="17"/>
      <c r="E9" s="17"/>
      <c r="F9" s="281">
        <v>42100</v>
      </c>
      <c r="G9" s="281">
        <v>81300</v>
      </c>
      <c r="H9" s="281">
        <v>25900</v>
      </c>
      <c r="I9" s="281">
        <v>4600</v>
      </c>
      <c r="J9" s="281">
        <v>37100</v>
      </c>
      <c r="K9" s="281">
        <v>128600</v>
      </c>
      <c r="L9" s="281">
        <v>172400</v>
      </c>
      <c r="M9" s="110"/>
      <c r="N9" s="110"/>
      <c r="O9" s="281">
        <v>32000</v>
      </c>
      <c r="P9" s="281">
        <v>59200</v>
      </c>
      <c r="Q9" s="110"/>
      <c r="R9" s="281">
        <f>5700+75900</f>
        <v>81600</v>
      </c>
      <c r="S9" s="108"/>
      <c r="T9" s="99">
        <f>(SUM(F9:R9))</f>
        <v>664800</v>
      </c>
    </row>
    <row r="10" spans="1:20" ht="12.75">
      <c r="A10" s="148" t="s">
        <v>157</v>
      </c>
      <c r="B10" s="17"/>
      <c r="C10" s="17"/>
      <c r="D10" s="17"/>
      <c r="E10" s="17"/>
      <c r="F10" s="109">
        <f>'Rate Calculators'!$D$9*'Rate Calculators'!F9</f>
        <v>153295.3485</v>
      </c>
      <c r="G10" s="109">
        <f>'Rate Calculators'!$D$9*'Rate Calculators'!G9</f>
        <v>265868.561</v>
      </c>
      <c r="H10" s="109">
        <f>'Rate Calculators'!$D$9*'Rate Calculators'!H9</f>
        <v>92995.2625</v>
      </c>
      <c r="I10" s="109">
        <f>'Rate Calculators'!$D$9*'Rate Calculators'!I9</f>
        <v>14683.462500000001</v>
      </c>
      <c r="J10" s="109">
        <f>'Rate Calculators'!$D$9*'Rate Calculators'!J9</f>
        <v>97889.75</v>
      </c>
      <c r="K10" s="109">
        <f>'Rate Calculators'!$D$9*'Rate Calculators'!K9</f>
        <v>447160.378</v>
      </c>
      <c r="L10" s="109">
        <f>'Rate Calculators'!$D$9*'Rate Calculators'!L9</f>
        <v>430714.9</v>
      </c>
      <c r="M10" s="110"/>
      <c r="N10" s="110"/>
      <c r="O10" s="109">
        <f>'Rate Calculators'!$D$9*'Rate Calculators'!O9</f>
        <v>149967.097</v>
      </c>
      <c r="P10" s="109">
        <f>'Rate Calculators'!$D$9*'Rate Calculators'!P9</f>
        <v>168174.5905</v>
      </c>
      <c r="Q10" s="192"/>
      <c r="R10" s="110"/>
      <c r="S10" s="108"/>
      <c r="T10" s="99">
        <f>(SUM(F10:R10))</f>
        <v>1820749.35</v>
      </c>
    </row>
    <row r="11" spans="1:21" s="3" customFormat="1" ht="13.5" thickBot="1">
      <c r="A11" s="208"/>
      <c r="B11" s="17"/>
      <c r="C11" s="17"/>
      <c r="D11" s="17"/>
      <c r="E11" s="17"/>
      <c r="F11" s="209">
        <f>SUM(F9:F10)</f>
        <v>195395.3485</v>
      </c>
      <c r="G11" s="209">
        <f aca="true" t="shared" si="0" ref="G11:R11">SUM(G9:G10)</f>
        <v>347168.561</v>
      </c>
      <c r="H11" s="209">
        <f t="shared" si="0"/>
        <v>118895.2625</v>
      </c>
      <c r="I11" s="209">
        <f t="shared" si="0"/>
        <v>19283.4625</v>
      </c>
      <c r="J11" s="209">
        <f t="shared" si="0"/>
        <v>134989.75</v>
      </c>
      <c r="K11" s="209">
        <f t="shared" si="0"/>
        <v>575760.378</v>
      </c>
      <c r="L11" s="209">
        <f t="shared" si="0"/>
        <v>603114.9</v>
      </c>
      <c r="M11" s="209">
        <f t="shared" si="0"/>
        <v>0</v>
      </c>
      <c r="N11" s="209">
        <f t="shared" si="0"/>
        <v>0</v>
      </c>
      <c r="O11" s="209">
        <f t="shared" si="0"/>
        <v>181967.097</v>
      </c>
      <c r="P11" s="209">
        <f t="shared" si="0"/>
        <v>227374.5905</v>
      </c>
      <c r="Q11" s="209">
        <f t="shared" si="0"/>
        <v>0</v>
      </c>
      <c r="R11" s="209">
        <f t="shared" si="0"/>
        <v>81600</v>
      </c>
      <c r="S11" s="112"/>
      <c r="T11" s="286">
        <f>SUM(T9:T10)</f>
        <v>2485549.35</v>
      </c>
      <c r="U11" s="7"/>
    </row>
    <row r="12" spans="1:20" ht="6" customHeight="1" thickTop="1">
      <c r="A12" s="77"/>
      <c r="B12" s="17"/>
      <c r="C12" s="17"/>
      <c r="D12" s="17"/>
      <c r="E12" s="17"/>
      <c r="F12" s="111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08"/>
      <c r="T12" s="108"/>
    </row>
    <row r="13" spans="1:20" s="3" customFormat="1" ht="12.75">
      <c r="A13" s="351" t="s">
        <v>165</v>
      </c>
      <c r="B13" s="350"/>
      <c r="C13" s="162"/>
      <c r="D13" s="264"/>
      <c r="E13" s="80"/>
      <c r="F13" s="349">
        <f>'IT Cost Center Allocations'!$R$32*('Rate Calculators'!F11/'Rate Calculators'!$T$11)</f>
        <v>80422.26608497849</v>
      </c>
      <c r="G13" s="349">
        <f>'IT Cost Center Allocations'!$R$32*('Rate Calculators'!G11/'Rate Calculators'!$T$11)</f>
        <v>67287.3974120737</v>
      </c>
      <c r="H13" s="349">
        <f>'IT Cost Center Allocations'!$R$32*('Rate Calculators'!H11/'Rate Calculators'!$T$11)</f>
        <v>55074.27390919731</v>
      </c>
      <c r="I13" s="349">
        <f>'IT Cost Center Allocations'!$R$32*('Rate Calculators'!I11/'Rate Calculators'!$T$11)</f>
        <v>15669.667890482919</v>
      </c>
      <c r="J13" s="349">
        <f>'IT Cost Center Allocations'!$R$32*('Rate Calculators'!J11/'Rate Calculators'!$T$11)</f>
        <v>23850.156274485027</v>
      </c>
      <c r="K13" s="349">
        <f>'IT Cost Center Allocations'!$R$32*('Rate Calculators'!K11/'Rate Calculators'!$T$11)</f>
        <v>125933.4338551311</v>
      </c>
      <c r="L13" s="349">
        <f>'IT Cost Center Allocations'!$R$32*('Rate Calculators'!L11/'Rate Calculators'!$T$11)</f>
        <v>68093.92443584856</v>
      </c>
      <c r="M13" s="349">
        <f>'IT Cost Center Allocations'!$R$32*('Rate Calculators'!M11/'Rate Calculators'!$T$11)</f>
        <v>76965.72169737198</v>
      </c>
      <c r="N13" s="143"/>
      <c r="O13" s="349">
        <f>'IT Cost Center Allocations'!$R$32*('Rate Calculators'!O11/'Rate Calculators'!$T$11)</f>
        <v>35141.534607333015</v>
      </c>
      <c r="P13" s="349">
        <f>'IT Cost Center Allocations'!$R$32*('Rate Calculators'!P11/'Rate Calculators'!$T$11)</f>
        <v>51848.16581409788</v>
      </c>
      <c r="Q13" s="143"/>
      <c r="R13" s="143"/>
      <c r="S13" s="126"/>
      <c r="T13" s="181">
        <f>SUM(F13:R13)</f>
        <v>600286.5419809999</v>
      </c>
    </row>
    <row r="14" spans="1:20" ht="6" customHeight="1">
      <c r="A14" s="77"/>
      <c r="B14" s="17"/>
      <c r="C14" s="17"/>
      <c r="D14" s="17"/>
      <c r="E14" s="17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5"/>
      <c r="T14" s="99"/>
    </row>
    <row r="15" spans="1:20" ht="12.75">
      <c r="A15" s="189" t="s">
        <v>130</v>
      </c>
      <c r="B15" s="17"/>
      <c r="C15" s="17"/>
      <c r="D15" s="17"/>
      <c r="E15" s="17"/>
      <c r="F15" s="349">
        <f>'Rate Calculators'!$D$13*'Rate Calculators'!F13</f>
        <v>232324.9281956491</v>
      </c>
      <c r="G15" s="349">
        <f>'Rate Calculators'!$D$13*'Rate Calculators'!G13</f>
        <v>194380.74221527088</v>
      </c>
      <c r="H15" s="349">
        <f>'Rate Calculators'!$D$13*'Rate Calculators'!H13</f>
        <v>159099.30612825253</v>
      </c>
      <c r="I15" s="349">
        <f>'Rate Calculators'!$D$13*'Rate Calculators'!I13</f>
        <v>45266.748187117875</v>
      </c>
      <c r="J15" s="349">
        <f>'Rate Calculators'!$D$13*'Rate Calculators'!J13</f>
        <v>68898.65349068676</v>
      </c>
      <c r="K15" s="349">
        <f>'Rate Calculators'!$D$13*'Rate Calculators'!K13</f>
        <v>363798.2041802929</v>
      </c>
      <c r="L15" s="349">
        <f>'Rate Calculators'!$D$13*'Rate Calculators'!L13</f>
        <v>196710.64837196076</v>
      </c>
      <c r="M15" s="104"/>
      <c r="N15" s="104"/>
      <c r="O15" s="104"/>
      <c r="P15" s="104"/>
      <c r="Q15" s="104"/>
      <c r="R15" s="104"/>
      <c r="S15" s="108"/>
      <c r="T15" s="99">
        <f>(SUM(F15:R15))</f>
        <v>1260479.2307692308</v>
      </c>
    </row>
    <row r="16" spans="1:20" ht="6" customHeight="1">
      <c r="A16" s="77"/>
      <c r="B16" s="17"/>
      <c r="C16" s="17"/>
      <c r="D16" s="17"/>
      <c r="E16" s="17"/>
      <c r="F16" s="111"/>
      <c r="G16" s="113"/>
      <c r="H16" s="113"/>
      <c r="I16" s="113"/>
      <c r="J16" s="113"/>
      <c r="K16" s="113"/>
      <c r="L16" s="113"/>
      <c r="M16" s="113"/>
      <c r="N16" s="113"/>
      <c r="O16" s="113"/>
      <c r="P16" s="113"/>
      <c r="Q16" s="113"/>
      <c r="R16" s="113"/>
      <c r="S16" s="108"/>
      <c r="T16" s="108"/>
    </row>
    <row r="17" spans="1:20" ht="12.75">
      <c r="A17" s="190" t="s">
        <v>69</v>
      </c>
      <c r="B17" s="17"/>
      <c r="C17" s="17"/>
      <c r="D17" s="17"/>
      <c r="E17" s="17"/>
      <c r="F17" s="282">
        <f>'Rate Calculators'!F15*'Rate Calculators'!$D$15</f>
        <v>642634.64</v>
      </c>
      <c r="G17" s="282">
        <f>'Rate Calculators'!G15*'Rate Calculators'!$D$15</f>
        <v>537677.12</v>
      </c>
      <c r="H17" s="282">
        <f>'Rate Calculators'!H15*'Rate Calculators'!$D$15</f>
        <v>440085.04</v>
      </c>
      <c r="I17" s="282">
        <f>'Rate Calculators'!I15*'Rate Calculators'!$D$15</f>
        <v>125212.48</v>
      </c>
      <c r="J17" s="282">
        <f>'Rate Calculators'!J15*'Rate Calculators'!$D$15</f>
        <v>190580.75999999998</v>
      </c>
      <c r="K17" s="282">
        <f>'Rate Calculators'!K15*'Rate Calculators'!$D$15</f>
        <v>1006303.24</v>
      </c>
      <c r="L17" s="282">
        <f>'Rate Calculators'!L15*'Rate Calculators'!$D$15</f>
        <v>544121.88</v>
      </c>
      <c r="M17" s="282">
        <f>'Rate Calculators'!M15*'Rate Calculators'!$D$15</f>
        <v>615014.24</v>
      </c>
      <c r="N17" s="282">
        <f>'Rate Calculators'!N15*'Rate Calculators'!$D$15</f>
        <v>0</v>
      </c>
      <c r="O17" s="282">
        <f>'Rate Calculators'!O15*'Rate Calculators'!$D$15</f>
        <v>0</v>
      </c>
      <c r="P17" s="282">
        <f>'Rate Calculators'!P15*'Rate Calculators'!$D$15</f>
        <v>0</v>
      </c>
      <c r="Q17" s="282">
        <f>'Rate Calculators'!Q15*'Rate Calculators'!$D$15</f>
        <v>0</v>
      </c>
      <c r="R17" s="282">
        <f>'Rate Calculators'!R15*'Rate Calculators'!$D$15</f>
        <v>0</v>
      </c>
      <c r="S17" s="211"/>
      <c r="T17" s="99">
        <f>(SUM(F17:R17))</f>
        <v>4101629.4000000004</v>
      </c>
    </row>
    <row r="18" spans="1:21" s="3" customFormat="1" ht="6.75" customHeight="1">
      <c r="A18" s="214"/>
      <c r="B18" s="17"/>
      <c r="C18" s="17"/>
      <c r="D18" s="17"/>
      <c r="E18" s="17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22"/>
      <c r="U18" s="7"/>
    </row>
    <row r="19" spans="1:20" ht="12.75">
      <c r="A19" s="17" t="s">
        <v>68</v>
      </c>
      <c r="B19" s="17"/>
      <c r="C19" s="17"/>
      <c r="D19" s="17"/>
      <c r="E19" s="17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95"/>
      <c r="T19" s="99"/>
    </row>
    <row r="20" spans="1:20" ht="12.75">
      <c r="A20" s="17" t="s">
        <v>62</v>
      </c>
      <c r="B20" s="17"/>
      <c r="C20" s="17"/>
      <c r="D20" s="17"/>
      <c r="E20" s="17"/>
      <c r="F20" s="284">
        <f>'Rate Calculators'!F19*'Rate Calculators'!$D19</f>
        <v>103440</v>
      </c>
      <c r="G20" s="284">
        <f>'Rate Calculators'!G19*'Rate Calculators'!$D19</f>
        <v>114720</v>
      </c>
      <c r="H20" s="284">
        <f>'Rate Calculators'!H19*'Rate Calculators'!$D19</f>
        <v>105840</v>
      </c>
      <c r="I20" s="284">
        <f>'Rate Calculators'!I19*'Rate Calculators'!$D19</f>
        <v>24480</v>
      </c>
      <c r="J20" s="284">
        <f>'Rate Calculators'!J19*'Rate Calculators'!$D19</f>
        <v>41760</v>
      </c>
      <c r="K20" s="284">
        <f>'Rate Calculators'!K19*'Rate Calculators'!$D19</f>
        <v>229200</v>
      </c>
      <c r="L20" s="284">
        <f>'Rate Calculators'!L19*'Rate Calculators'!$D19</f>
        <v>118560</v>
      </c>
      <c r="M20" s="284">
        <f>'Rate Calculators'!M19*'Rate Calculators'!$D19</f>
        <v>146640</v>
      </c>
      <c r="N20" s="284"/>
      <c r="O20" s="287"/>
      <c r="P20" s="287"/>
      <c r="Q20" s="287"/>
      <c r="R20" s="287"/>
      <c r="S20" s="108"/>
      <c r="T20" s="99">
        <f>(SUM(F20:R20))</f>
        <v>884640</v>
      </c>
    </row>
    <row r="21" spans="1:20" ht="12.75">
      <c r="A21" s="17" t="s">
        <v>63</v>
      </c>
      <c r="B21" s="17"/>
      <c r="C21" s="17"/>
      <c r="D21" s="17"/>
      <c r="E21" s="17"/>
      <c r="F21" s="283">
        <f>'Rate Calculators'!F20*'Rate Calculators'!$D20</f>
        <v>160200</v>
      </c>
      <c r="G21" s="283">
        <f>'Rate Calculators'!G20*'Rate Calculators'!$D20</f>
        <v>63600</v>
      </c>
      <c r="H21" s="283">
        <f>'Rate Calculators'!H20*'Rate Calculators'!$D20</f>
        <v>22200</v>
      </c>
      <c r="I21" s="283">
        <f>'Rate Calculators'!I20*'Rate Calculators'!$D20</f>
        <v>20400</v>
      </c>
      <c r="J21" s="283">
        <f>'Rate Calculators'!J20*'Rate Calculators'!$D20</f>
        <v>19800</v>
      </c>
      <c r="K21" s="283">
        <f>'Rate Calculators'!K20*'Rate Calculators'!$D20</f>
        <v>82800</v>
      </c>
      <c r="L21" s="283">
        <f>'Rate Calculators'!L20*'Rate Calculators'!$D20</f>
        <v>58200</v>
      </c>
      <c r="M21" s="283">
        <f>'Rate Calculators'!M20*'Rate Calculators'!$D20</f>
        <v>34200</v>
      </c>
      <c r="N21" s="283"/>
      <c r="O21" s="107"/>
      <c r="P21" s="107"/>
      <c r="Q21" s="107"/>
      <c r="R21" s="107"/>
      <c r="S21" s="108"/>
      <c r="T21" s="99">
        <f>(SUM(F21:R21))</f>
        <v>461400</v>
      </c>
    </row>
    <row r="22" spans="1:20" ht="12.75">
      <c r="A22" s="17" t="s">
        <v>64</v>
      </c>
      <c r="B22" s="17"/>
      <c r="C22" s="17"/>
      <c r="D22" s="17"/>
      <c r="E22" s="17"/>
      <c r="F22" s="283">
        <f>'Rate Calculators'!$D$21*'Rate Calculators'!F21</f>
        <v>0</v>
      </c>
      <c r="G22" s="283">
        <f>'Rate Calculators'!$D$21*'Rate Calculators'!G21</f>
        <v>2400</v>
      </c>
      <c r="H22" s="283">
        <f>'Rate Calculators'!$D$21*'Rate Calculators'!H21</f>
        <v>2100</v>
      </c>
      <c r="I22" s="283">
        <f>'Rate Calculators'!$D$21*'Rate Calculators'!I21</f>
        <v>0</v>
      </c>
      <c r="J22" s="283">
        <f>'Rate Calculators'!$D$21*'Rate Calculators'!J21</f>
        <v>0</v>
      </c>
      <c r="K22" s="283">
        <f>'Rate Calculators'!$D$21*'Rate Calculators'!K21</f>
        <v>17400</v>
      </c>
      <c r="L22" s="283">
        <f>'Rate Calculators'!$D$21*'Rate Calculators'!L21</f>
        <v>0</v>
      </c>
      <c r="M22" s="283">
        <f>'Rate Calculators'!$D$21*'Rate Calculators'!M21</f>
        <v>0</v>
      </c>
      <c r="N22" s="261"/>
      <c r="O22" s="110"/>
      <c r="P22" s="110"/>
      <c r="Q22" s="110"/>
      <c r="R22" s="110"/>
      <c r="S22" s="108"/>
      <c r="T22" s="99">
        <f>(SUM(F22:R22))</f>
        <v>21900</v>
      </c>
    </row>
    <row r="23" spans="1:20" ht="12.75">
      <c r="A23" s="362" t="s">
        <v>191</v>
      </c>
      <c r="B23" s="17"/>
      <c r="C23" s="17"/>
      <c r="D23" s="17"/>
      <c r="E23" s="17"/>
      <c r="F23" s="361">
        <f>ROUND('IT Cost Center Allocations'!$X$25*(SUM(F20:F22)/SUM($T$20:$T$22)),0)</f>
        <v>-183703</v>
      </c>
      <c r="G23" s="361">
        <f>ROUND('IT Cost Center Allocations'!$X$25*(SUM(G20:G22)/SUM($T$20:$T$22)),0)</f>
        <v>-125925</v>
      </c>
      <c r="H23" s="361">
        <f>ROUND('IT Cost Center Allocations'!$X$25*(SUM(H20:H22)/SUM($T$20:$T$22)),0)</f>
        <v>-90681</v>
      </c>
      <c r="I23" s="361">
        <f>ROUND('IT Cost Center Allocations'!$X$25*(SUM(I20:I22)/SUM($T$20:$T$22)),0)</f>
        <v>-31272</v>
      </c>
      <c r="J23" s="361">
        <f>ROUND('IT Cost Center Allocations'!$X$25*(SUM(J20:J22)/SUM($T$20:$T$22)),0)</f>
        <v>-42895</v>
      </c>
      <c r="K23" s="361">
        <f>ROUND('IT Cost Center Allocations'!$X$25*(SUM(K20:K22)/SUM($T$20:$T$22)),0)</f>
        <v>-229524</v>
      </c>
      <c r="L23" s="361">
        <f>ROUND('IT Cost Center Allocations'!$X$25*(SUM(L20:L22)/SUM($T$20:$T$22)),0)</f>
        <v>-123165</v>
      </c>
      <c r="M23" s="361">
        <f>ROUND('IT Cost Center Allocations'!$X$25*(SUM(M20:M22)/SUM($T$20:$T$22)),0)</f>
        <v>-126008</v>
      </c>
      <c r="N23" s="112"/>
      <c r="O23" s="203"/>
      <c r="P23" s="203"/>
      <c r="Q23" s="203"/>
      <c r="R23" s="203"/>
      <c r="S23" s="108"/>
      <c r="T23" s="345">
        <f>(SUM(F23:R23))</f>
        <v>-953173</v>
      </c>
    </row>
    <row r="24" spans="1:20" ht="13.5" thickBot="1">
      <c r="A24" s="17" t="s">
        <v>137</v>
      </c>
      <c r="B24" s="17"/>
      <c r="C24" s="17"/>
      <c r="D24" s="17"/>
      <c r="E24" s="17"/>
      <c r="F24" s="215">
        <f aca="true" t="shared" si="1" ref="F24:M24">SUM(F20:F23)</f>
        <v>79937</v>
      </c>
      <c r="G24" s="215">
        <f t="shared" si="1"/>
        <v>54795</v>
      </c>
      <c r="H24" s="215">
        <f t="shared" si="1"/>
        <v>39459</v>
      </c>
      <c r="I24" s="215">
        <f t="shared" si="1"/>
        <v>13608</v>
      </c>
      <c r="J24" s="215">
        <f t="shared" si="1"/>
        <v>18665</v>
      </c>
      <c r="K24" s="215">
        <f t="shared" si="1"/>
        <v>99876</v>
      </c>
      <c r="L24" s="215">
        <f t="shared" si="1"/>
        <v>53595</v>
      </c>
      <c r="M24" s="215">
        <f t="shared" si="1"/>
        <v>54832</v>
      </c>
      <c r="N24" s="215">
        <f>SUM(N20:N22)</f>
        <v>0</v>
      </c>
      <c r="O24" s="215">
        <f>SUM(O20:O23)</f>
        <v>0</v>
      </c>
      <c r="P24" s="215">
        <f>SUM(P20:P23)</f>
        <v>0</v>
      </c>
      <c r="Q24" s="215">
        <f>SUM(Q20:Q23)</f>
        <v>0</v>
      </c>
      <c r="R24" s="215">
        <f>SUM(R20:R23)</f>
        <v>0</v>
      </c>
      <c r="S24" s="108"/>
      <c r="T24" s="97">
        <f>SUM(T20:T23)</f>
        <v>414767</v>
      </c>
    </row>
    <row r="25" spans="1:20" ht="6" customHeight="1" thickTop="1">
      <c r="A25" s="17"/>
      <c r="B25" s="17"/>
      <c r="C25" s="17"/>
      <c r="D25" s="17"/>
      <c r="E25" s="17"/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08"/>
      <c r="Q25" s="108"/>
      <c r="R25" s="108"/>
      <c r="S25" s="108"/>
      <c r="T25" s="99"/>
    </row>
    <row r="26" spans="1:20" ht="12.75">
      <c r="A26" s="17" t="s">
        <v>162</v>
      </c>
      <c r="B26" s="17"/>
      <c r="C26" s="17"/>
      <c r="D26" s="17"/>
      <c r="E26" s="17"/>
      <c r="F26" s="106">
        <f>'Rate Calculators'!F24*'Rate Calculators'!$D$24</f>
        <v>139600</v>
      </c>
      <c r="G26" s="106">
        <f>'Rate Calculators'!G24*'Rate Calculators'!$D$24</f>
        <v>116800</v>
      </c>
      <c r="H26" s="106">
        <f>'Rate Calculators'!H24*'Rate Calculators'!$D$24</f>
        <v>95600</v>
      </c>
      <c r="I26" s="106">
        <f>'Rate Calculators'!I24*'Rate Calculators'!$D$24</f>
        <v>27200</v>
      </c>
      <c r="J26" s="106">
        <f>'Rate Calculators'!J24*'Rate Calculators'!$D$24</f>
        <v>41400</v>
      </c>
      <c r="K26" s="106">
        <f>'Rate Calculators'!K24*'Rate Calculators'!$D$24</f>
        <v>218600</v>
      </c>
      <c r="L26" s="287">
        <f>'Rate Calculators'!L24*'Rate Calculators'!$D$24</f>
        <v>0</v>
      </c>
      <c r="M26" s="287">
        <f>'Rate Calculators'!M24*'Rate Calculators'!$D$24</f>
        <v>0</v>
      </c>
      <c r="N26" s="287"/>
      <c r="O26" s="106">
        <f>'Rate Calculators'!O24*'Rate Calculators'!$D$24</f>
        <v>61000</v>
      </c>
      <c r="P26" s="106">
        <f>'Rate Calculators'!P24*'Rate Calculators'!$D$24</f>
        <v>90000</v>
      </c>
      <c r="Q26" s="287">
        <f>'Rate Calculators'!Q24*'Rate Calculators'!$D$24</f>
        <v>0</v>
      </c>
      <c r="R26" s="287">
        <f>'Rate Calculators'!R24*'Rate Calculators'!$D$24</f>
        <v>0</v>
      </c>
      <c r="S26" s="211"/>
      <c r="T26" s="99">
        <f>(SUM(F26:R26))</f>
        <v>790200</v>
      </c>
    </row>
    <row r="27" spans="1:20" ht="12.75">
      <c r="A27" s="17" t="s">
        <v>163</v>
      </c>
      <c r="B27" s="17"/>
      <c r="C27" s="17"/>
      <c r="D27" s="17"/>
      <c r="E27" s="17"/>
      <c r="F27" s="110">
        <f>'Rate Calculators'!F25*'Rate Calculators'!$D$26</f>
        <v>0</v>
      </c>
      <c r="G27" s="110">
        <f>'Rate Calculators'!G25*'Rate Calculators'!$D$26</f>
        <v>0</v>
      </c>
      <c r="H27" s="110">
        <f>'Rate Calculators'!H25*'Rate Calculators'!$D$26</f>
        <v>0</v>
      </c>
      <c r="I27" s="110">
        <f>'Rate Calculators'!I25*'Rate Calculators'!$D$26</f>
        <v>0</v>
      </c>
      <c r="J27" s="110">
        <f>'Rate Calculators'!J25*'Rate Calculators'!$D$26</f>
        <v>0</v>
      </c>
      <c r="K27" s="110">
        <f>'Rate Calculators'!K25*'Rate Calculators'!$D$26</f>
        <v>0</v>
      </c>
      <c r="L27" s="109">
        <f>'Rate Calculators'!D25*'Rate Calculators'!T25</f>
        <v>41370</v>
      </c>
      <c r="M27" s="109"/>
      <c r="N27" s="110"/>
      <c r="O27" s="110">
        <f>'Rate Calculators'!O25*'Rate Calculators'!$D$26</f>
        <v>0</v>
      </c>
      <c r="P27" s="110">
        <f>'Rate Calculators'!P25*'Rate Calculators'!$D$26</f>
        <v>0</v>
      </c>
      <c r="Q27" s="110">
        <f>'Rate Calculators'!Q25*'Rate Calculators'!$D$26</f>
        <v>0</v>
      </c>
      <c r="R27" s="110">
        <f>'Rate Calculators'!R25*'Rate Calculators'!$D$26</f>
        <v>0</v>
      </c>
      <c r="S27" s="211"/>
      <c r="T27" s="99">
        <f>(SUM(F27:R27))</f>
        <v>41370</v>
      </c>
    </row>
    <row r="28" spans="1:20" ht="12.75">
      <c r="A28" s="17" t="s">
        <v>164</v>
      </c>
      <c r="B28" s="17"/>
      <c r="C28" s="17"/>
      <c r="D28" s="17"/>
      <c r="E28" s="17"/>
      <c r="F28" s="110">
        <f>'Rate Calculators'!F26*'Rate Calculators'!$D$26</f>
        <v>0</v>
      </c>
      <c r="G28" s="110">
        <f>'Rate Calculators'!G26*'Rate Calculators'!$D$26</f>
        <v>0</v>
      </c>
      <c r="H28" s="110">
        <f>'Rate Calculators'!H26*'Rate Calculators'!$D$26</f>
        <v>0</v>
      </c>
      <c r="I28" s="110">
        <f>'Rate Calculators'!I26*'Rate Calculators'!$D$26</f>
        <v>0</v>
      </c>
      <c r="J28" s="110">
        <f>'Rate Calculators'!J26*'Rate Calculators'!$D$26</f>
        <v>0</v>
      </c>
      <c r="K28" s="110">
        <f>'Rate Calculators'!K26*'Rate Calculators'!$D$26</f>
        <v>0</v>
      </c>
      <c r="L28" s="109"/>
      <c r="M28" s="109">
        <f>'Rate Calculators'!D26*'Rate Calculators'!M26</f>
        <v>26720</v>
      </c>
      <c r="N28" s="110"/>
      <c r="O28" s="110">
        <f>'Rate Calculators'!O26*'Rate Calculators'!$D$26</f>
        <v>0</v>
      </c>
      <c r="P28" s="110">
        <f>'Rate Calculators'!P26*'Rate Calculators'!$D$26</f>
        <v>0</v>
      </c>
      <c r="Q28" s="110">
        <f>'Rate Calculators'!Q26*'Rate Calculators'!$D$26</f>
        <v>0</v>
      </c>
      <c r="R28" s="110">
        <f>'Rate Calculators'!R26*'Rate Calculators'!$D$26</f>
        <v>0</v>
      </c>
      <c r="S28" s="211"/>
      <c r="T28" s="99">
        <f>(SUM(F28:R28))</f>
        <v>26720</v>
      </c>
    </row>
    <row r="29" spans="1:20" ht="13.5" thickBot="1">
      <c r="A29" s="17" t="s">
        <v>138</v>
      </c>
      <c r="B29" s="17"/>
      <c r="C29" s="17"/>
      <c r="D29" s="17"/>
      <c r="E29" s="17"/>
      <c r="F29" s="215">
        <f aca="true" t="shared" si="2" ref="F29:M29">SUM(F26:F28)</f>
        <v>139600</v>
      </c>
      <c r="G29" s="215">
        <f t="shared" si="2"/>
        <v>116800</v>
      </c>
      <c r="H29" s="215">
        <f t="shared" si="2"/>
        <v>95600</v>
      </c>
      <c r="I29" s="215">
        <f t="shared" si="2"/>
        <v>27200</v>
      </c>
      <c r="J29" s="215">
        <f t="shared" si="2"/>
        <v>41400</v>
      </c>
      <c r="K29" s="215">
        <f t="shared" si="2"/>
        <v>218600</v>
      </c>
      <c r="L29" s="215">
        <f t="shared" si="2"/>
        <v>41370</v>
      </c>
      <c r="M29" s="215">
        <f t="shared" si="2"/>
        <v>26720</v>
      </c>
      <c r="N29" s="210"/>
      <c r="O29" s="215">
        <f>SUM(O26:O28)</f>
        <v>61000</v>
      </c>
      <c r="P29" s="215">
        <f>SUM(P26:P28)</f>
        <v>90000</v>
      </c>
      <c r="Q29" s="215">
        <f>SUM(Q26:Q28)</f>
        <v>0</v>
      </c>
      <c r="R29" s="215">
        <f>SUM(R26:R28)</f>
        <v>0</v>
      </c>
      <c r="S29" s="108"/>
      <c r="T29" s="288">
        <f>SUM(T26:T28)</f>
        <v>858290</v>
      </c>
    </row>
    <row r="30" spans="1:20" ht="5.25" customHeight="1" thickTop="1">
      <c r="A30" s="17"/>
      <c r="B30" s="17"/>
      <c r="C30" s="17"/>
      <c r="D30" s="17"/>
      <c r="E30" s="17"/>
      <c r="F30" s="108"/>
      <c r="G30" s="108"/>
      <c r="H30" s="108"/>
      <c r="I30" s="108"/>
      <c r="J30" s="108"/>
      <c r="K30" s="108"/>
      <c r="L30" s="108"/>
      <c r="M30" s="108"/>
      <c r="N30" s="203"/>
      <c r="O30" s="108"/>
      <c r="P30" s="108"/>
      <c r="Q30" s="108"/>
      <c r="R30" s="108"/>
      <c r="S30" s="108"/>
      <c r="T30" s="108"/>
    </row>
    <row r="31" spans="1:20" ht="13.5" thickBot="1">
      <c r="A31" s="190" t="s">
        <v>70</v>
      </c>
      <c r="B31" s="17"/>
      <c r="C31" s="17"/>
      <c r="D31" s="17"/>
      <c r="E31" s="17"/>
      <c r="F31" s="215">
        <f aca="true" t="shared" si="3" ref="F31:M31">SUM(F17,F24,F29)</f>
        <v>862171.64</v>
      </c>
      <c r="G31" s="215">
        <f t="shared" si="3"/>
        <v>709272.12</v>
      </c>
      <c r="H31" s="215">
        <f t="shared" si="3"/>
        <v>575144.04</v>
      </c>
      <c r="I31" s="215">
        <f t="shared" si="3"/>
        <v>166020.47999999998</v>
      </c>
      <c r="J31" s="215">
        <f t="shared" si="3"/>
        <v>250645.75999999998</v>
      </c>
      <c r="K31" s="215">
        <f t="shared" si="3"/>
        <v>1324779.24</v>
      </c>
      <c r="L31" s="215">
        <f t="shared" si="3"/>
        <v>639086.88</v>
      </c>
      <c r="M31" s="215">
        <f t="shared" si="3"/>
        <v>696566.24</v>
      </c>
      <c r="N31" s="215"/>
      <c r="O31" s="215">
        <f>SUM(O17,O24,O29)</f>
        <v>61000</v>
      </c>
      <c r="P31" s="215">
        <f>SUM(P17,P24,P29)</f>
        <v>90000</v>
      </c>
      <c r="Q31" s="215">
        <f>SUM(Q17,Q24,Q29)</f>
        <v>0</v>
      </c>
      <c r="R31" s="215">
        <f>SUM(R17,R24,R29)</f>
        <v>0</v>
      </c>
      <c r="S31" s="108"/>
      <c r="T31" s="215">
        <f>SUM(T17,T24,T29)</f>
        <v>5374686.4</v>
      </c>
    </row>
    <row r="32" spans="1:20" ht="6" customHeight="1" thickTop="1">
      <c r="A32" s="77"/>
      <c r="B32" s="17"/>
      <c r="C32" s="17"/>
      <c r="D32" s="17"/>
      <c r="E32" s="17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11"/>
      <c r="R32" s="111"/>
      <c r="S32" s="108"/>
      <c r="T32" s="108"/>
    </row>
    <row r="33" spans="1:20" ht="12.75">
      <c r="A33" s="128" t="s">
        <v>108</v>
      </c>
      <c r="B33" s="236"/>
      <c r="C33" s="236"/>
      <c r="D33" s="236"/>
      <c r="E33" s="236"/>
      <c r="F33" s="349">
        <f>'IT Cost Center Allocations'!$V$32*('Rate Calculators'!F28/'Rate Calculators'!$T$28)</f>
        <v>465701.7745643611</v>
      </c>
      <c r="G33" s="349">
        <f>'IT Cost Center Allocations'!$V$32*('Rate Calculators'!G28/'Rate Calculators'!$T$28)</f>
        <v>413957.13294609875</v>
      </c>
      <c r="H33" s="349">
        <f>'IT Cost Center Allocations'!$V$32*('Rate Calculators'!H28/'Rate Calculators'!$T$28)</f>
        <v>250863.26252904403</v>
      </c>
      <c r="I33" s="349">
        <f>'IT Cost Center Allocations'!$V$32*('Rate Calculators'!I28/'Rate Calculators'!$T$28)</f>
        <v>66154.54181575312</v>
      </c>
      <c r="J33" s="349">
        <f>'IT Cost Center Allocations'!$V$32*('Rate Calculators'!J28/'Rate Calculators'!$T$28)</f>
        <v>159163.89763592088</v>
      </c>
      <c r="K33" s="349">
        <f>'IT Cost Center Allocations'!$V$32*('Rate Calculators'!K28/'Rate Calculators'!$T$28)</f>
        <v>910443.6942960083</v>
      </c>
      <c r="L33" s="349">
        <f>'IT Cost Center Allocations'!$V$32*('Rate Calculators'!L28/'Rate Calculators'!$T$28)</f>
        <v>451291.8743668703</v>
      </c>
      <c r="M33" s="356"/>
      <c r="N33" s="356"/>
      <c r="O33" s="349">
        <f>'IT Cost Center Allocations'!$V$32*('Rate Calculators'!O28/'Rate Calculators'!$T$28)</f>
        <v>149993.96114660858</v>
      </c>
      <c r="P33" s="349">
        <f>'IT Cost Center Allocations'!$V$32*('Rate Calculators'!P28/'Rate Calculators'!$T$28)</f>
        <v>518101.41164614575</v>
      </c>
      <c r="Q33" s="356"/>
      <c r="R33" s="356"/>
      <c r="S33" s="352"/>
      <c r="T33" s="204">
        <f>(SUM(F33:R33))</f>
        <v>3385671.5509468107</v>
      </c>
    </row>
    <row r="34" spans="1:20" s="3" customFormat="1" ht="6" customHeight="1">
      <c r="A34" s="140"/>
      <c r="B34" s="240"/>
      <c r="C34" s="140"/>
      <c r="D34" s="2"/>
      <c r="E34" s="80"/>
      <c r="F34" s="134"/>
      <c r="G34" s="134"/>
      <c r="H34" s="134"/>
      <c r="I34" s="134"/>
      <c r="J34" s="134"/>
      <c r="K34" s="134"/>
      <c r="L34" s="134"/>
      <c r="N34" s="134"/>
      <c r="O34" s="134"/>
      <c r="P34" s="134"/>
      <c r="Q34" s="134"/>
      <c r="R34" s="134"/>
      <c r="S34" s="134"/>
      <c r="T34" s="135"/>
    </row>
    <row r="35" spans="1:20" ht="12.75">
      <c r="A35" s="138" t="s">
        <v>76</v>
      </c>
      <c r="B35" s="17"/>
      <c r="C35" s="17"/>
      <c r="D35" s="17"/>
      <c r="E35" s="17"/>
      <c r="F35" s="349">
        <f>'IT Cost Center Allocations'!$N$32*'Rate Calculators'!F31</f>
        <v>436216.3106692279</v>
      </c>
      <c r="G35" s="94">
        <f>'IT Cost Center Allocations'!$N$32*'Rate Calculators'!G31</f>
        <v>433693.37075789634</v>
      </c>
      <c r="H35" s="94">
        <f>'IT Cost Center Allocations'!$N$32*'Rate Calculators'!H31</f>
        <v>448578.7162347526</v>
      </c>
      <c r="I35" s="94">
        <f>'IT Cost Center Allocations'!$N$32*'Rate Calculators'!I31</f>
        <v>138509.40113210303</v>
      </c>
      <c r="J35" s="94">
        <f>'IT Cost Center Allocations'!$N$32*'Rate Calculators'!J31</f>
        <v>52729.444146829745</v>
      </c>
      <c r="K35" s="94">
        <f>'IT Cost Center Allocations'!$N$32*'Rate Calculators'!K31</f>
        <v>377179.51674406923</v>
      </c>
      <c r="L35" s="94">
        <f>'IT Cost Center Allocations'!$N$32*'Rate Calculators'!L31</f>
        <v>110757.0621074558</v>
      </c>
      <c r="M35" s="94">
        <f>'IT Cost Center Allocations'!$N$32*'Rate Calculators'!M31</f>
        <v>106972.65224045844</v>
      </c>
      <c r="N35" s="104"/>
      <c r="O35" s="104"/>
      <c r="P35" s="94">
        <f>'IT Cost Center Allocations'!$N$32*'Rate Calculators'!P31</f>
        <v>321422.5447036417</v>
      </c>
      <c r="Q35" s="94">
        <f>'IT Cost Center Allocations'!$N$32*'Rate Calculators'!Q31</f>
        <v>96880.89259513216</v>
      </c>
      <c r="R35" s="104"/>
      <c r="S35" s="95"/>
      <c r="T35" s="22">
        <f>(SUM(F35:R35))</f>
        <v>2522939.9113315674</v>
      </c>
    </row>
    <row r="36" spans="1:20" ht="6" customHeight="1">
      <c r="A36" s="77"/>
      <c r="B36" s="17"/>
      <c r="C36" s="17"/>
      <c r="D36" s="17"/>
      <c r="E36" s="17"/>
      <c r="F36" s="204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5"/>
      <c r="T36" s="99"/>
    </row>
    <row r="37" spans="1:20" ht="12.75">
      <c r="A37" s="139" t="s">
        <v>78</v>
      </c>
      <c r="B37" s="17"/>
      <c r="C37" s="17"/>
      <c r="D37" s="17"/>
      <c r="E37" s="17"/>
      <c r="F37" s="94">
        <f>'Rate Calculators'!$D$33*'Rate Calculators'!F33</f>
        <v>95964.4459060786</v>
      </c>
      <c r="G37" s="94">
        <f>'Rate Calculators'!$D$33*'Rate Calculators'!G33</f>
        <v>80291.1696406159</v>
      </c>
      <c r="H37" s="94">
        <f>'Rate Calculators'!$D$33*'Rate Calculators'!H33</f>
        <v>65717.77241132603</v>
      </c>
      <c r="I37" s="94">
        <f>'Rate Calculators'!$D$33*'Rate Calculators'!I33</f>
        <v>18697.94361493795</v>
      </c>
      <c r="J37" s="94">
        <f>'Rate Calculators'!$D$33*'Rate Calculators'!J33</f>
        <v>28459.370060971734</v>
      </c>
      <c r="K37" s="94">
        <f>'Rate Calculators'!$D$33*'Rate Calculators'!K33</f>
        <v>150270.9733171116</v>
      </c>
      <c r="L37" s="94">
        <f>'Rate Calculators'!$D$33*'Rate Calculators'!L33</f>
        <v>81253.56379726712</v>
      </c>
      <c r="M37" s="104"/>
      <c r="N37" s="104"/>
      <c r="O37" s="104"/>
      <c r="P37" s="104"/>
      <c r="Q37" s="104"/>
      <c r="R37" s="104"/>
      <c r="S37" s="95"/>
      <c r="T37" s="99">
        <f>(SUM(F37:R37))</f>
        <v>520655.23874830897</v>
      </c>
    </row>
    <row r="38" spans="1:20" ht="12.75">
      <c r="A38" s="139" t="s">
        <v>80</v>
      </c>
      <c r="B38" s="17"/>
      <c r="C38" s="17"/>
      <c r="D38" s="17"/>
      <c r="E38" s="17"/>
      <c r="F38" s="98">
        <f>('IT Cost Center Allocations'!$M$32*'Rate Calculators'!$B$35)*'Rate Calculators'!F35</f>
        <v>2536.570575846438</v>
      </c>
      <c r="G38" s="98">
        <f>('IT Cost Center Allocations'!$M$32*'Rate Calculators'!$B$35)*'Rate Calculators'!G35</f>
        <v>0</v>
      </c>
      <c r="H38" s="98">
        <f>('IT Cost Center Allocations'!$M$32*'Rate Calculators'!$B$35)*'Rate Calculators'!H35</f>
        <v>108443.16010723944</v>
      </c>
      <c r="I38" s="98">
        <f>('IT Cost Center Allocations'!$M$32*'Rate Calculators'!$B$35)*'Rate Calculators'!I35</f>
        <v>14799.840352307036</v>
      </c>
      <c r="J38" s="98">
        <f>('IT Cost Center Allocations'!$M$32*'Rate Calculators'!$B$35)*'Rate Calculators'!J35</f>
        <v>48252.05681873299</v>
      </c>
      <c r="K38" s="98">
        <f>('IT Cost Center Allocations'!$M$32*'Rate Calculators'!$B$35)*'Rate Calculators'!K35</f>
        <v>2174.2033507255182</v>
      </c>
      <c r="L38" s="105"/>
      <c r="M38" s="105"/>
      <c r="N38" s="105"/>
      <c r="O38" s="105"/>
      <c r="P38" s="98">
        <f>('IT Cost Center Allocations'!$M$32*'Rate Calculators'!$B$35)*'Rate Calculators'!P35</f>
        <v>14513.76096405368</v>
      </c>
      <c r="Q38" s="105"/>
      <c r="R38" s="105"/>
      <c r="S38" s="95"/>
      <c r="T38" s="99">
        <f>(SUM(F38:R38))</f>
        <v>190719.5921689051</v>
      </c>
    </row>
    <row r="39" spans="1:21" s="3" customFormat="1" ht="13.5" thickBot="1">
      <c r="A39" s="208"/>
      <c r="B39" s="17"/>
      <c r="C39" s="17"/>
      <c r="D39" s="17"/>
      <c r="E39" s="17"/>
      <c r="F39" s="213">
        <f>SUM(F37:F38)</f>
        <v>98501.01648192503</v>
      </c>
      <c r="G39" s="213">
        <f aca="true" t="shared" si="4" ref="G39:P39">SUM(G37:G38)</f>
        <v>80291.1696406159</v>
      </c>
      <c r="H39" s="213">
        <f t="shared" si="4"/>
        <v>174160.93251856547</v>
      </c>
      <c r="I39" s="213">
        <f t="shared" si="4"/>
        <v>33497.783967244985</v>
      </c>
      <c r="J39" s="213">
        <f t="shared" si="4"/>
        <v>76711.42687970473</v>
      </c>
      <c r="K39" s="213">
        <f t="shared" si="4"/>
        <v>152445.17666783714</v>
      </c>
      <c r="L39" s="213">
        <f t="shared" si="4"/>
        <v>81253.56379726712</v>
      </c>
      <c r="M39" s="213">
        <f t="shared" si="4"/>
        <v>0</v>
      </c>
      <c r="N39" s="213"/>
      <c r="O39" s="213">
        <f t="shared" si="4"/>
        <v>0</v>
      </c>
      <c r="P39" s="213">
        <f t="shared" si="4"/>
        <v>14513.76096405368</v>
      </c>
      <c r="Q39" s="213">
        <f>SUM(Q37:Q38)</f>
        <v>0</v>
      </c>
      <c r="R39" s="213">
        <f>SUM(R37:R38)</f>
        <v>0</v>
      </c>
      <c r="S39" s="19"/>
      <c r="T39" s="285">
        <f>ROUND(SUM(T37:T38),0)</f>
        <v>711375</v>
      </c>
      <c r="U39" s="7"/>
    </row>
    <row r="40" spans="1:20" ht="6" customHeight="1" thickTop="1">
      <c r="A40" s="77"/>
      <c r="B40" s="17"/>
      <c r="C40" s="17"/>
      <c r="D40" s="17"/>
      <c r="E40" s="17"/>
      <c r="F40" s="99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5"/>
      <c r="T40" s="99"/>
    </row>
    <row r="41" spans="1:20" ht="12.75">
      <c r="A41" s="131" t="s">
        <v>139</v>
      </c>
      <c r="B41" s="17"/>
      <c r="C41" s="17"/>
      <c r="D41" s="17"/>
      <c r="E41" s="17"/>
      <c r="F41" s="309">
        <f>('Rate Calculators'!F39*'Rate Calculators'!$B$45)+('Rate Calculators'!F37*'Rate Calculators'!$B$44)</f>
        <v>121228.21981767539</v>
      </c>
      <c r="G41" s="309">
        <f>('Rate Calculators'!G39*'Rate Calculators'!$B$45)+('Rate Calculators'!G37*'Rate Calculators'!$B$44)</f>
        <v>80155.37519288089</v>
      </c>
      <c r="H41" s="309">
        <f>('Rate Calculators'!H39*'Rate Calculators'!$B$45)+('Rate Calculators'!H37*'Rate Calculators'!$B$44)</f>
        <v>235218.93397459402</v>
      </c>
      <c r="I41" s="309">
        <f>('Rate Calculators'!I39*'Rate Calculators'!$B$45)+('Rate Calculators'!I37*'Rate Calculators'!$B$44)</f>
        <v>27140.646227837773</v>
      </c>
      <c r="J41" s="309">
        <f>('Rate Calculators'!J39*'Rate Calculators'!$B$45)+('Rate Calculators'!J37*'Rate Calculators'!$B$44)</f>
        <v>43425.03396454044</v>
      </c>
      <c r="K41" s="309">
        <f>('Rate Calculators'!K39*'Rate Calculators'!$B$45)+('Rate Calculators'!K37*'Rate Calculators'!$B$44)</f>
        <v>94087.57358983763</v>
      </c>
      <c r="L41" s="309">
        <f>('Rate Calculators'!L39*'Rate Calculators'!$B$45)+('Rate Calculators'!L37*'Rate Calculators'!$B$44)</f>
        <v>162843.87736702664</v>
      </c>
      <c r="M41" s="192"/>
      <c r="N41" s="192"/>
      <c r="O41" s="309">
        <f>('Rate Calculators'!O39*'Rate Calculators'!$B$45)+('Rate Calculators'!O37*'Rate Calculators'!$B$44)</f>
        <v>42339.40811542693</v>
      </c>
      <c r="P41" s="309">
        <f>('Rate Calculators'!P39*'Rate Calculators'!$B$45)+('Rate Calculators'!P37*'Rate Calculators'!$B$44)</f>
        <v>71759.86862640307</v>
      </c>
      <c r="Q41" s="309">
        <f>('Rate Calculators'!Q39*'Rate Calculators'!$B$45)+('Rate Calculators'!Q37*'Rate Calculators'!$B$44)</f>
        <v>54281.292455675546</v>
      </c>
      <c r="R41" s="365">
        <v>18000</v>
      </c>
      <c r="S41" s="108"/>
      <c r="T41" s="99">
        <f>ROUNDUP(SUM(F41:R41),0)</f>
        <v>950481</v>
      </c>
    </row>
    <row r="42" spans="1:20" ht="12.75">
      <c r="A42" s="131" t="s">
        <v>104</v>
      </c>
      <c r="B42" s="17"/>
      <c r="C42" s="17"/>
      <c r="D42" s="17"/>
      <c r="E42" s="17"/>
      <c r="F42" s="205">
        <f>'Rate Calculators'!$D$46*'Rate Calculators'!F41</f>
        <v>608294.4815819756</v>
      </c>
      <c r="G42" s="205">
        <f>'Rate Calculators'!$D$46*'Rate Calculators'!G41</f>
        <v>508945.5261373549</v>
      </c>
      <c r="H42" s="205">
        <f>'Rate Calculators'!$D$46*'Rate Calculators'!H41</f>
        <v>416568.42721516377</v>
      </c>
      <c r="I42" s="309">
        <f>'Rate Calculators'!$D$46*'Rate Calculators'!I41</f>
        <v>118521.56088130182</v>
      </c>
      <c r="J42" s="205">
        <f>'Rate Calculators'!$D$46*'Rate Calculators'!J41</f>
        <v>180396.78751786382</v>
      </c>
      <c r="K42" s="205">
        <f>'Rate Calculators'!$D$46*'Rate Calculators'!K41</f>
        <v>952529.897376933</v>
      </c>
      <c r="L42" s="205">
        <f>'Rate Calculators'!$D$46*'Rate Calculators'!L41</f>
        <v>515045.90059448074</v>
      </c>
      <c r="M42" s="192"/>
      <c r="N42" s="192"/>
      <c r="O42" s="192"/>
      <c r="P42" s="192"/>
      <c r="Q42" s="203"/>
      <c r="R42" s="203"/>
      <c r="S42" s="108"/>
      <c r="T42" s="204">
        <f>ROUNDUP(SUM(F42:R42),0)</f>
        <v>3300303</v>
      </c>
    </row>
    <row r="43" spans="1:20" ht="13.5" thickBot="1">
      <c r="A43" s="17"/>
      <c r="B43" s="17"/>
      <c r="C43" s="17"/>
      <c r="D43" s="17"/>
      <c r="E43" s="17"/>
      <c r="F43" s="215">
        <f aca="true" t="shared" si="5" ref="F43:M43">SUM(F41:F42)</f>
        <v>729522.701399651</v>
      </c>
      <c r="G43" s="215">
        <f t="shared" si="5"/>
        <v>589100.9013302358</v>
      </c>
      <c r="H43" s="215">
        <f t="shared" si="5"/>
        <v>651787.3611897578</v>
      </c>
      <c r="I43" s="215">
        <f t="shared" si="5"/>
        <v>145662.2071091396</v>
      </c>
      <c r="J43" s="215">
        <f t="shared" si="5"/>
        <v>223821.82148240425</v>
      </c>
      <c r="K43" s="215">
        <f t="shared" si="5"/>
        <v>1046617.4709667707</v>
      </c>
      <c r="L43" s="215">
        <f t="shared" si="5"/>
        <v>677889.7779615074</v>
      </c>
      <c r="M43" s="215">
        <f t="shared" si="5"/>
        <v>0</v>
      </c>
      <c r="N43" s="210"/>
      <c r="O43" s="215">
        <f>SUM(O41:O42)</f>
        <v>42339.40811542693</v>
      </c>
      <c r="P43" s="215">
        <f>SUM(P41:P42)</f>
        <v>71759.86862640307</v>
      </c>
      <c r="Q43" s="215">
        <f>SUM(Q41:Q42)</f>
        <v>54281.292455675546</v>
      </c>
      <c r="R43" s="215">
        <f>SUM(R41:R42)</f>
        <v>18000</v>
      </c>
      <c r="S43" s="108"/>
      <c r="T43" s="288">
        <f>SUM(T41:T42)</f>
        <v>4250784</v>
      </c>
    </row>
    <row r="44" spans="1:20" ht="6" customHeight="1" thickTop="1">
      <c r="A44" s="77"/>
      <c r="B44" s="17"/>
      <c r="C44" s="17"/>
      <c r="D44" s="17"/>
      <c r="E44" s="17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  <c r="Q44" s="96"/>
      <c r="R44" s="96"/>
      <c r="S44" s="95"/>
      <c r="T44" s="97"/>
    </row>
    <row r="45" spans="1:20" ht="12.75">
      <c r="A45" s="188" t="s">
        <v>97</v>
      </c>
      <c r="B45" s="93"/>
      <c r="C45" s="93"/>
      <c r="D45" s="93"/>
      <c r="E45" s="93"/>
      <c r="F45" s="307">
        <f aca="true" t="shared" si="6" ref="F45:M45">SUM(F5,F33,F7,F11,F13,F35,F39,F15,F17,F24,F29,F43)</f>
        <v>4860707.925188101</v>
      </c>
      <c r="G45" s="307">
        <f t="shared" si="6"/>
        <v>4034689.4665791146</v>
      </c>
      <c r="H45" s="307">
        <f t="shared" si="6"/>
        <v>2929334.636517262</v>
      </c>
      <c r="I45" s="307">
        <f t="shared" si="6"/>
        <v>726675.5192018414</v>
      </c>
      <c r="J45" s="307">
        <f t="shared" si="6"/>
        <v>1264739.18777157</v>
      </c>
      <c r="K45" s="307">
        <f t="shared" si="6"/>
        <v>6732211.054002417</v>
      </c>
      <c r="L45" s="307">
        <f t="shared" si="6"/>
        <v>3294110.5811793716</v>
      </c>
      <c r="M45" s="307">
        <f t="shared" si="6"/>
        <v>1040827.6139378304</v>
      </c>
      <c r="N45" s="184"/>
      <c r="O45" s="307">
        <f>SUM(O5,O33,O7,O11,O13,O35,O39,O15,O17,O24,O29,O43)</f>
        <v>473956.84848475317</v>
      </c>
      <c r="P45" s="307">
        <f>SUM(P5,P33,P7,P11,P13,P35,P39,P15,P17,P24,P29,P43)</f>
        <v>2554038.7580851116</v>
      </c>
      <c r="Q45" s="307">
        <f>SUM(Q5,Q33,Q7,Q11,Q13,Q35,Q39,Q15,Q17,Q24,Q29,Q43)</f>
        <v>679795.2664046538</v>
      </c>
      <c r="R45" s="307">
        <f>SUM(R5,R33,R7,R11,R13,R35,R39,R15,R17,R24,R29,R43)</f>
        <v>99600</v>
      </c>
      <c r="S45" s="101"/>
      <c r="T45" s="307">
        <f>SUM(T5,T33,T7,T11,T13,T35,T39,T15,T17,T24,T29,T43)</f>
        <v>28690688.21579784</v>
      </c>
    </row>
    <row r="46" spans="1:21" s="71" customFormat="1" ht="6" customHeight="1">
      <c r="A46" s="70"/>
      <c r="B46" s="89"/>
      <c r="C46" s="89"/>
      <c r="D46" s="89"/>
      <c r="E46" s="89"/>
      <c r="F46" s="182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68"/>
      <c r="T46" s="77"/>
      <c r="U46" s="69"/>
    </row>
    <row r="47" spans="1:20" ht="12.75">
      <c r="A47" s="185" t="s">
        <v>105</v>
      </c>
      <c r="F47" s="289"/>
      <c r="G47" s="289"/>
      <c r="H47" s="289"/>
      <c r="I47" s="289"/>
      <c r="J47" s="289"/>
      <c r="K47" s="289"/>
      <c r="L47" s="289"/>
      <c r="M47" s="289"/>
      <c r="N47" s="290"/>
      <c r="O47" s="289"/>
      <c r="P47" s="289"/>
      <c r="Q47" s="289">
        <v>-35000</v>
      </c>
      <c r="R47" s="289">
        <v>35000</v>
      </c>
      <c r="T47" s="206"/>
    </row>
    <row r="48" ht="6" customHeight="1">
      <c r="R48" s="85"/>
    </row>
    <row r="49" spans="1:20" ht="13.5" thickBot="1">
      <c r="A49" s="185" t="s">
        <v>106</v>
      </c>
      <c r="F49" s="278">
        <f>F45+F47</f>
        <v>4860707.925188101</v>
      </c>
      <c r="G49" s="278">
        <f aca="true" t="shared" si="7" ref="G49:R49">G45+G47</f>
        <v>4034689.4665791146</v>
      </c>
      <c r="H49" s="278">
        <f t="shared" si="7"/>
        <v>2929334.636517262</v>
      </c>
      <c r="I49" s="278">
        <f t="shared" si="7"/>
        <v>726675.5192018414</v>
      </c>
      <c r="J49" s="278">
        <f t="shared" si="7"/>
        <v>1264739.18777157</v>
      </c>
      <c r="K49" s="278">
        <f t="shared" si="7"/>
        <v>6732211.054002417</v>
      </c>
      <c r="L49" s="278">
        <f t="shared" si="7"/>
        <v>3294110.5811793716</v>
      </c>
      <c r="M49" s="278">
        <f t="shared" si="7"/>
        <v>1040827.6139378304</v>
      </c>
      <c r="N49" s="278"/>
      <c r="O49" s="278">
        <f t="shared" si="7"/>
        <v>473956.84848475317</v>
      </c>
      <c r="P49" s="278">
        <f t="shared" si="7"/>
        <v>2554038.7580851116</v>
      </c>
      <c r="Q49" s="278">
        <f t="shared" si="7"/>
        <v>644795.2664046538</v>
      </c>
      <c r="R49" s="279">
        <f t="shared" si="7"/>
        <v>134600</v>
      </c>
      <c r="T49" s="206"/>
    </row>
    <row r="50" spans="1:20" ht="13.5" thickTop="1">
      <c r="A50" s="185"/>
      <c r="F50" s="217"/>
      <c r="G50" s="217"/>
      <c r="H50" s="217"/>
      <c r="I50" s="217"/>
      <c r="J50" s="217"/>
      <c r="K50" s="217"/>
      <c r="L50" s="217"/>
      <c r="M50" s="217"/>
      <c r="N50" s="217"/>
      <c r="O50" s="217"/>
      <c r="P50" s="217"/>
      <c r="Q50" s="218"/>
      <c r="R50" s="219"/>
      <c r="T50" s="123"/>
    </row>
    <row r="51" spans="1:20" ht="12.75">
      <c r="A51" s="191" t="s">
        <v>96</v>
      </c>
      <c r="B51" s="17"/>
      <c r="C51" s="17"/>
      <c r="D51" s="17"/>
      <c r="E51" s="17"/>
      <c r="F51" s="186">
        <v>714510</v>
      </c>
      <c r="G51" s="187">
        <v>630278</v>
      </c>
      <c r="H51" s="183">
        <v>455334</v>
      </c>
      <c r="I51" s="183">
        <v>88582</v>
      </c>
      <c r="J51" s="183">
        <v>145321</v>
      </c>
      <c r="K51" s="183">
        <v>1033208</v>
      </c>
      <c r="L51" s="183">
        <v>271752</v>
      </c>
      <c r="M51" s="192"/>
      <c r="N51" s="192"/>
      <c r="O51" s="183">
        <v>177905</v>
      </c>
      <c r="P51" s="183">
        <v>305763</v>
      </c>
      <c r="Q51" s="192"/>
      <c r="R51" s="183">
        <f>140899+257772</f>
        <v>398671</v>
      </c>
      <c r="S51" s="108"/>
      <c r="T51" s="22">
        <f>ROUNDUP(SUM(F51:R51),0)</f>
        <v>4221324</v>
      </c>
    </row>
    <row r="53" spans="1:20" ht="13.5" thickBot="1">
      <c r="A53" s="185" t="s">
        <v>107</v>
      </c>
      <c r="F53" s="100">
        <f>F49+F51</f>
        <v>5575217.925188101</v>
      </c>
      <c r="G53" s="100">
        <f aca="true" t="shared" si="8" ref="G53:R53">G49+G51</f>
        <v>4664967.466579115</v>
      </c>
      <c r="H53" s="100">
        <f t="shared" si="8"/>
        <v>3384668.636517262</v>
      </c>
      <c r="I53" s="100">
        <f t="shared" si="8"/>
        <v>815257.5192018414</v>
      </c>
      <c r="J53" s="100">
        <f t="shared" si="8"/>
        <v>1410060.18777157</v>
      </c>
      <c r="K53" s="100">
        <f t="shared" si="8"/>
        <v>7765419.054002417</v>
      </c>
      <c r="L53" s="100">
        <f t="shared" si="8"/>
        <v>3565862.5811793716</v>
      </c>
      <c r="M53" s="100">
        <f t="shared" si="8"/>
        <v>1040827.6139378304</v>
      </c>
      <c r="N53" s="100"/>
      <c r="O53" s="100">
        <f t="shared" si="8"/>
        <v>651861.8484847532</v>
      </c>
      <c r="P53" s="100">
        <f t="shared" si="8"/>
        <v>2859801.7580851116</v>
      </c>
      <c r="Q53" s="100">
        <f t="shared" si="8"/>
        <v>644795.2664046538</v>
      </c>
      <c r="R53" s="100">
        <f t="shared" si="8"/>
        <v>533271</v>
      </c>
      <c r="T53" s="100">
        <f>SUM(T45,T47,T51)</f>
        <v>32912012.21579784</v>
      </c>
    </row>
    <row r="54" ht="13.5" thickTop="1"/>
  </sheetData>
  <mergeCells count="1">
    <mergeCell ref="A1:T1"/>
  </mergeCells>
  <dataValidations count="10">
    <dataValidation allowBlank="1" showInputMessage="1" showErrorMessage="1" prompt="Total Application Svc FY10 Plan Budget * Allocable % by Customer (based on historical FY08 Time Tracker Data - adjusted to reflect FY10 Planning)" sqref="A5"/>
    <dataValidation allowBlank="1" showInputMessage="1" showErrorMessage="1" prompt="Total Data &amp; Reporting Services Plan Budget * % of time spent on Data &amp; Rep Svcs Enterprise related work / Total Device Count = Data &amp; Rep Svcs  Enterprise Rate * Department's Device Count." sqref="A35"/>
    <dataValidation allowBlank="1" showInputMessage="1" showErrorMessage="1" prompt="Total GIS Plan Budget * % of time spent on GIS Enterprise related work / Total Device Count = GIS Enterprise Rate * Department's Device Count." sqref="A37"/>
    <dataValidation allowBlank="1" showInputMessage="1" showErrorMessage="1" prompt="Total GIS Plan Budget * Project Allocable % * Customer Allocable % (based on historical FY08 Time Tracker Data - adjusted to reflect FY10 Planning)" sqref="A38:A39"/>
    <dataValidation allowBlank="1" showInputMessage="1" showErrorMessage="1" prompt="Total Desktop Services Plan Budget / Total Device Count = Device Rate * Total Device by Customer (based on device count provided by Desktop Svcs Manager - Stan Johnson)" sqref="A17:A18"/>
    <dataValidation allowBlank="1" showInputMessage="1" showErrorMessage="1" prompt="Total Help Desk Plan Budget / Total Device Count = Device Rate * Total Device by Customer (based on device count provided by Desktop Svcs Manager - Stan Johnson)" sqref="A7"/>
    <dataValidation allowBlank="1" showInputMessage="1" showErrorMessage="1" prompt="Total WAN (Network Svcs) Plan Budget / Total Device Count = Device Rate * Total Device by Customer" sqref="A9:A11"/>
    <dataValidation allowBlank="1" showInputMessage="1" showErrorMessage="1" prompt="Total GGOS FY10 Plan Budget * % of time spent on GGOS Enterprise related work / Total Device Count = GGOS Enterprise Rate * Department's Device Count." sqref="A15"/>
    <dataValidation allowBlank="1" showInputMessage="1" showErrorMessage="1" prompt="Sum of Desktop Device charges and Desktop Service Charge" sqref="A31"/>
    <dataValidation allowBlank="1" showInputMessage="1" showErrorMessage="1" prompt="Number of employee within a Department / Total Employee Population = % by Department" sqref="A33"/>
  </dataValidations>
  <printOptions/>
  <pageMargins left="0.75" right="0.75" top="1" bottom="1" header="0.5" footer="0.5"/>
  <pageSetup cellComments="asDisplayed" fitToHeight="1" fitToWidth="1" horizontalDpi="600" verticalDpi="600" orientation="landscape" scale="58" r:id="rId3"/>
  <headerFooter alignWithMargins="0">
    <oddHeader>&amp;L&amp;A&amp;RPrinted on &amp;D at &amp;T</oddHeader>
    <oddFooter>&amp;L&amp;Z
&amp;F&amp;RPage &amp;P of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6"/>
  <sheetViews>
    <sheetView showGridLines="0" showZeros="0" zoomScale="90" zoomScaleNormal="90" workbookViewId="0" topLeftCell="A1">
      <pane xSplit="5" ySplit="3" topLeftCell="F4" activePane="bottomRight" state="frozen"/>
      <selection pane="topLeft" activeCell="B24" sqref="B24"/>
      <selection pane="topRight" activeCell="B24" sqref="B24"/>
      <selection pane="bottomLeft" activeCell="B24" sqref="B24"/>
      <selection pane="bottomRight" activeCell="P10" sqref="P10"/>
    </sheetView>
  </sheetViews>
  <sheetFormatPr defaultColWidth="9.140625" defaultRowHeight="12.75"/>
  <cols>
    <col min="1" max="1" width="28.57421875" style="3" customWidth="1"/>
    <col min="2" max="2" width="10.00390625" style="1" customWidth="1"/>
    <col min="3" max="3" width="0.71875" style="1" customWidth="1"/>
    <col min="4" max="4" width="13.421875" style="2" customWidth="1"/>
    <col min="5" max="5" width="0.85546875" style="80" customWidth="1"/>
    <col min="6" max="7" width="8.421875" style="1" bestFit="1" customWidth="1"/>
    <col min="8" max="8" width="9.8515625" style="1" bestFit="1" customWidth="1"/>
    <col min="9" max="9" width="9.28125" style="1" customWidth="1"/>
    <col min="10" max="11" width="7.7109375" style="1" bestFit="1" customWidth="1"/>
    <col min="12" max="12" width="7.28125" style="1" bestFit="1" customWidth="1"/>
    <col min="13" max="13" width="7.57421875" style="3" customWidth="1"/>
    <col min="14" max="14" width="10.8515625" style="3" customWidth="1"/>
    <col min="15" max="15" width="6.7109375" style="3" bestFit="1" customWidth="1"/>
    <col min="16" max="16" width="7.7109375" style="3" bestFit="1" customWidth="1"/>
    <col min="17" max="17" width="6.7109375" style="3" bestFit="1" customWidth="1"/>
    <col min="18" max="18" width="8.57421875" style="3" bestFit="1" customWidth="1"/>
    <col min="19" max="19" width="0.85546875" style="3" customWidth="1"/>
    <col min="20" max="20" width="10.00390625" style="2" customWidth="1"/>
    <col min="21" max="21" width="0.85546875" style="3" customWidth="1"/>
    <col min="22" max="22" width="11.57421875" style="3" bestFit="1" customWidth="1"/>
    <col min="23" max="16384" width="9.140625" style="3" customWidth="1"/>
  </cols>
  <sheetData>
    <row r="1" spans="1:20" s="151" customFormat="1" ht="28.5" customHeight="1">
      <c r="A1" s="369" t="s">
        <v>110</v>
      </c>
      <c r="B1" s="369"/>
      <c r="C1" s="369"/>
      <c r="D1" s="369"/>
      <c r="E1" s="369"/>
      <c r="F1" s="369"/>
      <c r="G1" s="369"/>
      <c r="H1" s="369"/>
      <c r="I1" s="369"/>
      <c r="J1" s="369"/>
      <c r="K1" s="369"/>
      <c r="L1" s="369"/>
      <c r="M1" s="369"/>
      <c r="N1" s="369"/>
      <c r="O1" s="369"/>
      <c r="P1" s="369"/>
      <c r="Q1" s="369"/>
      <c r="R1" s="369"/>
      <c r="S1" s="369"/>
      <c r="T1" s="369"/>
    </row>
    <row r="2" ht="6" customHeight="1">
      <c r="C2" s="3"/>
    </row>
    <row r="3" spans="1:20" ht="38.25">
      <c r="A3" s="370" t="s">
        <v>77</v>
      </c>
      <c r="B3" s="370"/>
      <c r="C3" s="161"/>
      <c r="D3" s="82" t="s">
        <v>82</v>
      </c>
      <c r="E3" s="129"/>
      <c r="F3" s="82" t="s">
        <v>53</v>
      </c>
      <c r="G3" s="82" t="s">
        <v>54</v>
      </c>
      <c r="H3" s="82" t="s">
        <v>55</v>
      </c>
      <c r="I3" s="82" t="s">
        <v>60</v>
      </c>
      <c r="J3" s="82" t="s">
        <v>56</v>
      </c>
      <c r="K3" s="82" t="s">
        <v>57</v>
      </c>
      <c r="L3" s="82" t="s">
        <v>66</v>
      </c>
      <c r="M3" s="82" t="s">
        <v>65</v>
      </c>
      <c r="N3" s="82" t="s">
        <v>150</v>
      </c>
      <c r="O3" s="82" t="s">
        <v>59</v>
      </c>
      <c r="P3" s="82" t="s">
        <v>58</v>
      </c>
      <c r="Q3" s="82" t="s">
        <v>101</v>
      </c>
      <c r="R3" s="82" t="s">
        <v>100</v>
      </c>
      <c r="S3" s="125"/>
      <c r="T3" s="137" t="s">
        <v>23</v>
      </c>
    </row>
    <row r="4" spans="3:5" ht="6" customHeight="1">
      <c r="C4" s="3"/>
      <c r="E4" s="81"/>
    </row>
    <row r="5" spans="1:20" ht="12.75">
      <c r="A5" s="371" t="s">
        <v>61</v>
      </c>
      <c r="B5" s="371"/>
      <c r="C5" s="93"/>
      <c r="F5" s="237">
        <v>0.2266</v>
      </c>
      <c r="G5" s="237">
        <v>0.1507</v>
      </c>
      <c r="H5" s="237">
        <v>0.0542</v>
      </c>
      <c r="I5" s="237">
        <v>0.0091</v>
      </c>
      <c r="J5" s="237">
        <v>0.0319</v>
      </c>
      <c r="K5" s="237">
        <v>0.2266</v>
      </c>
      <c r="L5" s="237">
        <v>0.0461</v>
      </c>
      <c r="M5" s="238"/>
      <c r="N5" s="238"/>
      <c r="O5" s="237">
        <v>0.0005</v>
      </c>
      <c r="P5" s="237">
        <v>0.1791</v>
      </c>
      <c r="Q5" s="237">
        <v>0.0752</v>
      </c>
      <c r="R5" s="238"/>
      <c r="S5" s="126"/>
      <c r="T5" s="164">
        <f>SUM(F5:R5)</f>
        <v>1</v>
      </c>
    </row>
    <row r="6" spans="2:3" ht="6" customHeight="1">
      <c r="B6" s="79"/>
      <c r="C6" s="17"/>
    </row>
    <row r="7" spans="1:20" ht="12.75">
      <c r="A7" s="375" t="s">
        <v>2</v>
      </c>
      <c r="B7" s="375"/>
      <c r="C7" s="93"/>
      <c r="D7" s="263">
        <f>ROUNDUP('IT Cost Center Allocations'!$U$32/SUM('Rate Calculators'!$T$7),3)</f>
        <v>240.005</v>
      </c>
      <c r="F7" s="144">
        <f aca="true" t="shared" si="0" ref="F7:M7">SUM(F19:F20)</f>
        <v>698</v>
      </c>
      <c r="G7" s="144">
        <f t="shared" si="0"/>
        <v>584</v>
      </c>
      <c r="H7" s="144">
        <f t="shared" si="0"/>
        <v>478</v>
      </c>
      <c r="I7" s="144">
        <f t="shared" si="0"/>
        <v>136</v>
      </c>
      <c r="J7" s="144">
        <f t="shared" si="0"/>
        <v>207</v>
      </c>
      <c r="K7" s="144">
        <f t="shared" si="0"/>
        <v>1093</v>
      </c>
      <c r="L7" s="144">
        <f t="shared" si="0"/>
        <v>591</v>
      </c>
      <c r="M7" s="144">
        <f t="shared" si="0"/>
        <v>668</v>
      </c>
      <c r="N7" s="145"/>
      <c r="O7" s="145"/>
      <c r="P7" s="145"/>
      <c r="Q7" s="145"/>
      <c r="R7" s="145"/>
      <c r="S7" s="136"/>
      <c r="T7" s="181">
        <f>SUM(F7:R7)</f>
        <v>4455</v>
      </c>
    </row>
    <row r="8" spans="3:20" ht="6" customHeight="1">
      <c r="C8" s="3"/>
      <c r="D8" s="79"/>
      <c r="T8" s="80"/>
    </row>
    <row r="9" spans="1:20" ht="12.75">
      <c r="A9" s="376" t="s">
        <v>158</v>
      </c>
      <c r="B9" s="376"/>
      <c r="C9" s="93"/>
      <c r="D9" s="264">
        <f>ROUND((('IT Cost Center Allocations'!$P$32+'IT Cost Center Allocations'!$Q$32)-'Dept Allocations'!$T$9)/($T$9),2)</f>
        <v>19577.95</v>
      </c>
      <c r="F9" s="363">
        <v>7.83</v>
      </c>
      <c r="G9" s="363">
        <v>13.58</v>
      </c>
      <c r="H9" s="363">
        <v>4.75</v>
      </c>
      <c r="I9" s="363">
        <v>0.75</v>
      </c>
      <c r="J9" s="363">
        <v>5</v>
      </c>
      <c r="K9" s="363">
        <v>22.84</v>
      </c>
      <c r="L9" s="363">
        <v>22</v>
      </c>
      <c r="M9" s="364"/>
      <c r="N9" s="364"/>
      <c r="O9" s="363">
        <f>8.16-0.5</f>
        <v>7.66</v>
      </c>
      <c r="P9" s="363">
        <f>8.09+0.5</f>
        <v>8.59</v>
      </c>
      <c r="Q9" s="364"/>
      <c r="R9" s="363">
        <f>(1+9)-10</f>
        <v>0</v>
      </c>
      <c r="S9" s="136"/>
      <c r="T9" s="181">
        <f>SUM(F9:R9)</f>
        <v>93</v>
      </c>
    </row>
    <row r="10" spans="1:20" ht="6" customHeight="1">
      <c r="A10" s="93"/>
      <c r="B10" s="93"/>
      <c r="C10" s="93"/>
      <c r="D10" s="265"/>
      <c r="F10" s="134"/>
      <c r="G10" s="134"/>
      <c r="H10" s="134"/>
      <c r="I10" s="134"/>
      <c r="J10" s="134"/>
      <c r="K10" s="134"/>
      <c r="L10" s="134"/>
      <c r="N10" s="134"/>
      <c r="O10" s="134"/>
      <c r="P10" s="134"/>
      <c r="Q10" s="134"/>
      <c r="R10" s="134"/>
      <c r="S10" s="134"/>
      <c r="T10" s="135"/>
    </row>
    <row r="11" spans="1:20" ht="12.75">
      <c r="A11" s="373" t="s">
        <v>165</v>
      </c>
      <c r="B11" s="373"/>
      <c r="C11" s="162"/>
      <c r="D11" s="264">
        <f>'IT Cost Center Allocations'!R32/'Rate Calculators'!T11</f>
        <v>115.21814625355086</v>
      </c>
      <c r="F11" s="133">
        <f aca="true" t="shared" si="1" ref="F11:M11">F15</f>
        <v>698</v>
      </c>
      <c r="G11" s="133">
        <f t="shared" si="1"/>
        <v>584</v>
      </c>
      <c r="H11" s="133">
        <f t="shared" si="1"/>
        <v>478</v>
      </c>
      <c r="I11" s="133">
        <f t="shared" si="1"/>
        <v>136</v>
      </c>
      <c r="J11" s="133">
        <f t="shared" si="1"/>
        <v>207</v>
      </c>
      <c r="K11" s="133">
        <f t="shared" si="1"/>
        <v>1093</v>
      </c>
      <c r="L11" s="133">
        <f t="shared" si="1"/>
        <v>591</v>
      </c>
      <c r="M11" s="133">
        <f t="shared" si="1"/>
        <v>668</v>
      </c>
      <c r="N11" s="143"/>
      <c r="O11" s="133">
        <f>O24</f>
        <v>305</v>
      </c>
      <c r="P11" s="133">
        <f>P24</f>
        <v>450</v>
      </c>
      <c r="Q11" s="143"/>
      <c r="R11" s="143"/>
      <c r="S11" s="126"/>
      <c r="T11" s="181">
        <f>SUM(F11:R11)</f>
        <v>5210</v>
      </c>
    </row>
    <row r="12" spans="1:20" ht="6" customHeight="1">
      <c r="A12" s="140"/>
      <c r="B12" s="240"/>
      <c r="C12" s="140"/>
      <c r="F12" s="134"/>
      <c r="G12" s="134"/>
      <c r="H12" s="134"/>
      <c r="I12" s="134"/>
      <c r="J12" s="134"/>
      <c r="K12" s="134"/>
      <c r="L12" s="134"/>
      <c r="N12" s="134"/>
      <c r="O12" s="134"/>
      <c r="P12" s="134"/>
      <c r="Q12" s="134"/>
      <c r="R12" s="134"/>
      <c r="S12" s="134"/>
      <c r="T12" s="135"/>
    </row>
    <row r="13" spans="1:20" ht="12.75">
      <c r="A13" s="377" t="s">
        <v>130</v>
      </c>
      <c r="B13" s="377"/>
      <c r="C13" s="163"/>
      <c r="D13" s="264">
        <f>'IT Cost Center Allocations'!L32/'Rate Calculators'!T13</f>
        <v>332.84373666998437</v>
      </c>
      <c r="F13" s="133">
        <f aca="true" t="shared" si="2" ref="F13:L13">F15</f>
        <v>698</v>
      </c>
      <c r="G13" s="133">
        <f t="shared" si="2"/>
        <v>584</v>
      </c>
      <c r="H13" s="133">
        <f t="shared" si="2"/>
        <v>478</v>
      </c>
      <c r="I13" s="133">
        <f t="shared" si="2"/>
        <v>136</v>
      </c>
      <c r="J13" s="133">
        <f t="shared" si="2"/>
        <v>207</v>
      </c>
      <c r="K13" s="133">
        <f t="shared" si="2"/>
        <v>1093</v>
      </c>
      <c r="L13" s="133">
        <f t="shared" si="2"/>
        <v>591</v>
      </c>
      <c r="M13" s="143"/>
      <c r="N13" s="143"/>
      <c r="O13" s="143"/>
      <c r="P13" s="143"/>
      <c r="Q13" s="143"/>
      <c r="R13" s="143"/>
      <c r="S13" s="126"/>
      <c r="T13" s="181">
        <f>SUM(F13:R13)</f>
        <v>3787</v>
      </c>
    </row>
    <row r="14" spans="1:3" ht="3" customHeight="1">
      <c r="A14" s="93"/>
      <c r="B14" s="241"/>
      <c r="C14" s="3"/>
    </row>
    <row r="15" spans="1:20" ht="12.75">
      <c r="A15" s="374" t="s">
        <v>69</v>
      </c>
      <c r="B15" s="374"/>
      <c r="C15" s="93"/>
      <c r="D15" s="271">
        <f>ROUND('IT Cost Center Allocations'!$O$32/SUM('Rate Calculators'!$T$15),2)</f>
        <v>920.68</v>
      </c>
      <c r="F15" s="133">
        <f aca="true" t="shared" si="3" ref="F15:M15">SUM(F19:F20)</f>
        <v>698</v>
      </c>
      <c r="G15" s="133">
        <f t="shared" si="3"/>
        <v>584</v>
      </c>
      <c r="H15" s="133">
        <f t="shared" si="3"/>
        <v>478</v>
      </c>
      <c r="I15" s="133">
        <f t="shared" si="3"/>
        <v>136</v>
      </c>
      <c r="J15" s="133">
        <f t="shared" si="3"/>
        <v>207</v>
      </c>
      <c r="K15" s="133">
        <f t="shared" si="3"/>
        <v>1093</v>
      </c>
      <c r="L15" s="133">
        <f t="shared" si="3"/>
        <v>591</v>
      </c>
      <c r="M15" s="133">
        <f t="shared" si="3"/>
        <v>668</v>
      </c>
      <c r="N15" s="198"/>
      <c r="O15" s="198"/>
      <c r="P15" s="199"/>
      <c r="Q15" s="199"/>
      <c r="R15" s="199"/>
      <c r="S15" s="134"/>
      <c r="T15" s="181">
        <f>SUM(F15:R15)</f>
        <v>4455</v>
      </c>
    </row>
    <row r="16" spans="2:20" ht="3" customHeight="1">
      <c r="B16" s="130"/>
      <c r="C16" s="130"/>
      <c r="D16" s="17"/>
      <c r="E16" s="17"/>
      <c r="F16" s="22"/>
      <c r="G16" s="22"/>
      <c r="H16" s="22"/>
      <c r="I16" s="22"/>
      <c r="J16" s="22"/>
      <c r="K16" s="22"/>
      <c r="L16" s="22"/>
      <c r="M16" s="22"/>
      <c r="N16" s="78"/>
      <c r="O16" s="78"/>
      <c r="P16" s="78"/>
      <c r="Q16" s="78"/>
      <c r="R16" s="78"/>
      <c r="S16" s="22"/>
      <c r="T16" s="78"/>
    </row>
    <row r="17" spans="1:4" ht="12.75">
      <c r="A17" s="201" t="s">
        <v>83</v>
      </c>
      <c r="B17" s="146"/>
      <c r="C17" s="102"/>
      <c r="D17" s="79"/>
    </row>
    <row r="18" spans="3:20" ht="6" customHeight="1">
      <c r="C18" s="3"/>
      <c r="F18" s="69"/>
      <c r="G18" s="69"/>
      <c r="H18" s="69"/>
      <c r="I18" s="69"/>
      <c r="J18" s="69"/>
      <c r="K18" s="69"/>
      <c r="L18" s="69"/>
      <c r="M18" s="13"/>
      <c r="N18" s="69"/>
      <c r="O18" s="69"/>
      <c r="P18" s="69"/>
      <c r="Q18" s="69"/>
      <c r="R18" s="69"/>
      <c r="S18" s="13"/>
      <c r="T18" s="76"/>
    </row>
    <row r="19" spans="2:22" ht="12.75" customHeight="1">
      <c r="B19" s="17" t="s">
        <v>131</v>
      </c>
      <c r="C19" s="130"/>
      <c r="D19" s="130">
        <v>240</v>
      </c>
      <c r="E19" s="17"/>
      <c r="F19" s="243">
        <v>431</v>
      </c>
      <c r="G19" s="243">
        <v>478</v>
      </c>
      <c r="H19" s="243">
        <v>441</v>
      </c>
      <c r="I19" s="243">
        <v>102</v>
      </c>
      <c r="J19" s="243">
        <v>174</v>
      </c>
      <c r="K19" s="243">
        <v>955</v>
      </c>
      <c r="L19" s="243">
        <v>494</v>
      </c>
      <c r="M19" s="243">
        <v>611</v>
      </c>
      <c r="N19" s="66"/>
      <c r="O19" s="66"/>
      <c r="P19" s="66"/>
      <c r="Q19" s="66">
        <v>0</v>
      </c>
      <c r="R19" s="66">
        <v>0</v>
      </c>
      <c r="S19" s="41"/>
      <c r="T19" s="181">
        <f>SUM(F19:R19)</f>
        <v>3686</v>
      </c>
      <c r="V19" s="256"/>
    </row>
    <row r="20" spans="2:22" ht="12.75">
      <c r="B20" s="17" t="s">
        <v>132</v>
      </c>
      <c r="C20" s="130"/>
      <c r="D20" s="130">
        <v>600</v>
      </c>
      <c r="E20" s="17"/>
      <c r="F20" s="244">
        <v>267</v>
      </c>
      <c r="G20" s="244">
        <v>106</v>
      </c>
      <c r="H20" s="244">
        <v>37</v>
      </c>
      <c r="I20" s="244">
        <v>34</v>
      </c>
      <c r="J20" s="244">
        <v>33</v>
      </c>
      <c r="K20" s="244">
        <v>138</v>
      </c>
      <c r="L20" s="244">
        <v>97</v>
      </c>
      <c r="M20" s="244">
        <v>57</v>
      </c>
      <c r="N20" s="200"/>
      <c r="O20" s="200">
        <v>0</v>
      </c>
      <c r="P20" s="200"/>
      <c r="Q20" s="200">
        <v>0</v>
      </c>
      <c r="R20" s="200">
        <v>0</v>
      </c>
      <c r="S20" s="41"/>
      <c r="T20" s="181">
        <f>SUM(F20:R20)</f>
        <v>769</v>
      </c>
      <c r="V20" s="256"/>
    </row>
    <row r="21" spans="2:22" ht="12.75">
      <c r="B21" s="17" t="s">
        <v>133</v>
      </c>
      <c r="C21" s="130"/>
      <c r="D21" s="130">
        <f>60+40</f>
        <v>100</v>
      </c>
      <c r="E21" s="17"/>
      <c r="F21" s="244">
        <v>0</v>
      </c>
      <c r="G21" s="244">
        <v>24</v>
      </c>
      <c r="H21" s="244">
        <v>21</v>
      </c>
      <c r="I21" s="244">
        <v>0</v>
      </c>
      <c r="J21" s="244">
        <v>0</v>
      </c>
      <c r="K21" s="244">
        <v>174</v>
      </c>
      <c r="L21" s="244"/>
      <c r="M21" s="244">
        <v>0</v>
      </c>
      <c r="N21" s="200"/>
      <c r="O21" s="200">
        <v>0</v>
      </c>
      <c r="P21" s="200">
        <v>0</v>
      </c>
      <c r="Q21" s="200">
        <v>0</v>
      </c>
      <c r="R21" s="200">
        <v>0</v>
      </c>
      <c r="S21" s="41"/>
      <c r="T21" s="181">
        <f>SUM(F21:R21)</f>
        <v>219</v>
      </c>
      <c r="V21" s="256"/>
    </row>
    <row r="22" spans="1:22" ht="13.5" thickBot="1">
      <c r="A22" s="17"/>
      <c r="C22" s="130"/>
      <c r="D22" s="270" t="s">
        <v>111</v>
      </c>
      <c r="E22" s="17"/>
      <c r="F22" s="246">
        <f aca="true" t="shared" si="4" ref="F22:R22">SUM(F19:F21)</f>
        <v>698</v>
      </c>
      <c r="G22" s="246">
        <f t="shared" si="4"/>
        <v>608</v>
      </c>
      <c r="H22" s="246">
        <f t="shared" si="4"/>
        <v>499</v>
      </c>
      <c r="I22" s="246">
        <f t="shared" si="4"/>
        <v>136</v>
      </c>
      <c r="J22" s="246">
        <f t="shared" si="4"/>
        <v>207</v>
      </c>
      <c r="K22" s="246">
        <f t="shared" si="4"/>
        <v>1267</v>
      </c>
      <c r="L22" s="246">
        <f t="shared" si="4"/>
        <v>591</v>
      </c>
      <c r="M22" s="246">
        <f t="shared" si="4"/>
        <v>668</v>
      </c>
      <c r="N22" s="246">
        <f t="shared" si="4"/>
        <v>0</v>
      </c>
      <c r="O22" s="246">
        <f t="shared" si="4"/>
        <v>0</v>
      </c>
      <c r="P22" s="246">
        <f t="shared" si="4"/>
        <v>0</v>
      </c>
      <c r="Q22" s="246">
        <f t="shared" si="4"/>
        <v>0</v>
      </c>
      <c r="R22" s="246">
        <f t="shared" si="4"/>
        <v>0</v>
      </c>
      <c r="S22" s="41"/>
      <c r="T22" s="246">
        <f>SUM(T19:T21)</f>
        <v>4674</v>
      </c>
      <c r="V22" s="256"/>
    </row>
    <row r="23" spans="1:20" ht="9" customHeight="1" thickTop="1">
      <c r="A23" s="17"/>
      <c r="B23" s="130"/>
      <c r="C23" s="130"/>
      <c r="E23" s="17"/>
      <c r="F23" s="245"/>
      <c r="G23" s="245"/>
      <c r="H23" s="245"/>
      <c r="I23" s="245"/>
      <c r="J23" s="245"/>
      <c r="K23" s="245"/>
      <c r="L23" s="41"/>
      <c r="M23" s="41"/>
      <c r="N23" s="41"/>
      <c r="O23" s="41"/>
      <c r="P23" s="41"/>
      <c r="Q23" s="41"/>
      <c r="R23" s="41"/>
      <c r="S23" s="41"/>
      <c r="T23" s="41"/>
    </row>
    <row r="24" spans="2:22" ht="12.75">
      <c r="B24" s="17" t="s">
        <v>159</v>
      </c>
      <c r="C24" s="130"/>
      <c r="D24" s="130">
        <v>200</v>
      </c>
      <c r="E24" s="17"/>
      <c r="F24" s="159">
        <f aca="true" t="shared" si="5" ref="F24:K24">SUM(F19:F20)</f>
        <v>698</v>
      </c>
      <c r="G24" s="159">
        <f t="shared" si="5"/>
        <v>584</v>
      </c>
      <c r="H24" s="159">
        <f t="shared" si="5"/>
        <v>478</v>
      </c>
      <c r="I24" s="159">
        <f t="shared" si="5"/>
        <v>136</v>
      </c>
      <c r="J24" s="159">
        <f t="shared" si="5"/>
        <v>207</v>
      </c>
      <c r="K24" s="159">
        <f t="shared" si="5"/>
        <v>1093</v>
      </c>
      <c r="L24" s="248"/>
      <c r="M24" s="248"/>
      <c r="N24" s="247"/>
      <c r="O24" s="207">
        <v>305</v>
      </c>
      <c r="P24" s="207">
        <v>450</v>
      </c>
      <c r="Q24" s="195"/>
      <c r="R24" s="195"/>
      <c r="S24" s="124"/>
      <c r="T24" s="262">
        <f>SUM(F24:R24)</f>
        <v>3951</v>
      </c>
      <c r="V24" s="256"/>
    </row>
    <row r="25" spans="2:22" ht="12.75">
      <c r="B25" s="17" t="s">
        <v>160</v>
      </c>
      <c r="C25" s="130"/>
      <c r="D25" s="130">
        <v>70</v>
      </c>
      <c r="E25" s="17"/>
      <c r="F25" s="159"/>
      <c r="G25" s="159"/>
      <c r="H25" s="159"/>
      <c r="I25" s="159"/>
      <c r="J25" s="159"/>
      <c r="K25" s="159"/>
      <c r="L25" s="28">
        <f>SUM(L19:L20)</f>
        <v>591</v>
      </c>
      <c r="M25" s="28"/>
      <c r="N25" s="247"/>
      <c r="O25" s="207"/>
      <c r="P25" s="207"/>
      <c r="Q25" s="195"/>
      <c r="R25" s="195"/>
      <c r="S25" s="124"/>
      <c r="T25" s="262">
        <f>SUM(F25:R25)</f>
        <v>591</v>
      </c>
      <c r="V25" s="256"/>
    </row>
    <row r="26" spans="2:22" ht="12.75">
      <c r="B26" s="17" t="s">
        <v>161</v>
      </c>
      <c r="C26" s="130"/>
      <c r="D26" s="130">
        <v>40</v>
      </c>
      <c r="E26" s="17"/>
      <c r="F26" s="159"/>
      <c r="G26" s="159"/>
      <c r="H26" s="159"/>
      <c r="I26" s="159"/>
      <c r="J26" s="159"/>
      <c r="K26" s="159"/>
      <c r="L26" s="28"/>
      <c r="M26" s="28">
        <f>SUM(M19:M20)</f>
        <v>668</v>
      </c>
      <c r="N26" s="247"/>
      <c r="O26" s="207"/>
      <c r="P26" s="207"/>
      <c r="Q26" s="195"/>
      <c r="R26" s="195"/>
      <c r="S26" s="124"/>
      <c r="T26" s="262">
        <f>SUM(F26:R26)</f>
        <v>668</v>
      </c>
      <c r="V26" s="256"/>
    </row>
    <row r="27" spans="3:22" ht="12.75">
      <c r="C27" s="3"/>
      <c r="V27" s="256"/>
    </row>
    <row r="28" spans="1:20" ht="12.75">
      <c r="A28" s="372" t="s">
        <v>108</v>
      </c>
      <c r="B28" s="372"/>
      <c r="C28" s="93"/>
      <c r="D28" s="357">
        <f>'IT Cost Center Allocations'!V32/'Rate Calculators'!T28</f>
        <v>654.9954635223081</v>
      </c>
      <c r="F28" s="216">
        <v>711</v>
      </c>
      <c r="G28" s="216">
        <v>632</v>
      </c>
      <c r="H28" s="216">
        <v>383</v>
      </c>
      <c r="I28" s="216">
        <v>101</v>
      </c>
      <c r="J28" s="216">
        <f>579-336</f>
        <v>243</v>
      </c>
      <c r="K28" s="216">
        <v>1390</v>
      </c>
      <c r="L28" s="216">
        <v>689</v>
      </c>
      <c r="M28" s="143"/>
      <c r="N28" s="143"/>
      <c r="O28" s="216">
        <v>229</v>
      </c>
      <c r="P28" s="216">
        <v>791</v>
      </c>
      <c r="Q28" s="143"/>
      <c r="R28" s="143"/>
      <c r="S28" s="194"/>
      <c r="T28" s="181">
        <f>SUM(F28:R28)</f>
        <v>5169</v>
      </c>
    </row>
    <row r="29" spans="2:3" ht="6" customHeight="1">
      <c r="B29" s="79"/>
      <c r="C29" s="17"/>
    </row>
    <row r="30" spans="1:20" ht="3" customHeight="1">
      <c r="A30" s="140"/>
      <c r="B30" s="240"/>
      <c r="C30" s="140"/>
      <c r="F30" s="134"/>
      <c r="G30" s="134"/>
      <c r="H30" s="134"/>
      <c r="I30" s="134"/>
      <c r="J30" s="134"/>
      <c r="K30" s="134"/>
      <c r="L30" s="134"/>
      <c r="N30" s="134"/>
      <c r="O30" s="134"/>
      <c r="P30" s="134"/>
      <c r="Q30" s="134"/>
      <c r="R30" s="134"/>
      <c r="S30" s="134"/>
      <c r="T30" s="135"/>
    </row>
    <row r="31" spans="1:20" ht="25.5">
      <c r="A31" s="141" t="s">
        <v>79</v>
      </c>
      <c r="B31" s="239"/>
      <c r="C31" s="162"/>
      <c r="D31" s="266"/>
      <c r="F31" s="237">
        <v>0.1729</v>
      </c>
      <c r="G31" s="237">
        <v>0.1719</v>
      </c>
      <c r="H31" s="237">
        <v>0.1778</v>
      </c>
      <c r="I31" s="237">
        <v>0.0549</v>
      </c>
      <c r="J31" s="237">
        <v>0.0209</v>
      </c>
      <c r="K31" s="237">
        <v>0.1495</v>
      </c>
      <c r="L31" s="237">
        <v>0.0439</v>
      </c>
      <c r="M31" s="237">
        <v>0.0424</v>
      </c>
      <c r="N31" s="238"/>
      <c r="O31" s="238">
        <v>0</v>
      </c>
      <c r="P31" s="237">
        <v>0.1274</v>
      </c>
      <c r="Q31" s="237">
        <v>0.0384</v>
      </c>
      <c r="R31" s="238"/>
      <c r="S31" s="126"/>
      <c r="T31" s="164">
        <f>SUM(F31:R31)</f>
        <v>1</v>
      </c>
    </row>
    <row r="32" spans="2:3" ht="6" customHeight="1">
      <c r="B32" s="241"/>
      <c r="C32" s="3"/>
    </row>
    <row r="33" spans="1:20" ht="12.75">
      <c r="A33" s="132" t="s">
        <v>78</v>
      </c>
      <c r="B33" s="242">
        <v>0.7319</v>
      </c>
      <c r="C33" s="163"/>
      <c r="D33" s="264">
        <f>('IT Cost Center Allocations'!$M$32*$B$33)/'Rate Calculators'!T33</f>
        <v>137.48487952160258</v>
      </c>
      <c r="F33" s="133">
        <f aca="true" t="shared" si="6" ref="F33:L33">F15</f>
        <v>698</v>
      </c>
      <c r="G33" s="133">
        <f t="shared" si="6"/>
        <v>584</v>
      </c>
      <c r="H33" s="133">
        <f t="shared" si="6"/>
        <v>478</v>
      </c>
      <c r="I33" s="133">
        <f t="shared" si="6"/>
        <v>136</v>
      </c>
      <c r="J33" s="133">
        <f t="shared" si="6"/>
        <v>207</v>
      </c>
      <c r="K33" s="133">
        <f t="shared" si="6"/>
        <v>1093</v>
      </c>
      <c r="L33" s="133">
        <f t="shared" si="6"/>
        <v>591</v>
      </c>
      <c r="M33" s="143"/>
      <c r="N33" s="143"/>
      <c r="O33" s="143"/>
      <c r="P33" s="143"/>
      <c r="Q33" s="143"/>
      <c r="R33" s="143"/>
      <c r="S33" s="126"/>
      <c r="T33" s="181">
        <f>SUM(F33:R33)</f>
        <v>3787</v>
      </c>
    </row>
    <row r="34" spans="2:4" ht="3" customHeight="1">
      <c r="B34" s="241"/>
      <c r="C34" s="3"/>
      <c r="D34" s="79"/>
    </row>
    <row r="35" spans="1:20" ht="12.75">
      <c r="A35" s="132" t="s">
        <v>80</v>
      </c>
      <c r="B35" s="242">
        <f>1-B33</f>
        <v>0.2681</v>
      </c>
      <c r="C35" s="163"/>
      <c r="D35" s="267"/>
      <c r="F35" s="237">
        <v>0.0133</v>
      </c>
      <c r="G35" s="237">
        <v>0</v>
      </c>
      <c r="H35" s="237">
        <v>0.5686</v>
      </c>
      <c r="I35" s="237">
        <v>0.0776</v>
      </c>
      <c r="J35" s="237">
        <v>0.253</v>
      </c>
      <c r="K35" s="237">
        <v>0.0114</v>
      </c>
      <c r="L35" s="238">
        <v>0</v>
      </c>
      <c r="M35" s="238"/>
      <c r="N35" s="238"/>
      <c r="O35" s="238">
        <v>0</v>
      </c>
      <c r="P35" s="237">
        <v>0.0761</v>
      </c>
      <c r="Q35" s="238">
        <v>0</v>
      </c>
      <c r="R35" s="238">
        <v>0</v>
      </c>
      <c r="S35" s="126"/>
      <c r="T35" s="164">
        <f>SUM(F35:R35)</f>
        <v>1</v>
      </c>
    </row>
    <row r="36" spans="2:20" ht="12.75">
      <c r="B36" s="241"/>
      <c r="C36" s="3"/>
      <c r="F36" s="69"/>
      <c r="G36" s="69"/>
      <c r="H36" s="69"/>
      <c r="I36" s="69"/>
      <c r="J36" s="69"/>
      <c r="K36" s="69"/>
      <c r="L36" s="69"/>
      <c r="M36" s="13"/>
      <c r="N36" s="69"/>
      <c r="O36" s="69"/>
      <c r="P36" s="69"/>
      <c r="Q36" s="69"/>
      <c r="R36" s="69"/>
      <c r="S36" s="13"/>
      <c r="T36" s="76"/>
    </row>
    <row r="37" spans="1:22" ht="12.75">
      <c r="A37" s="310" t="s">
        <v>103</v>
      </c>
      <c r="B37" s="310"/>
      <c r="C37" s="3"/>
      <c r="D37" s="80"/>
      <c r="F37" s="317">
        <v>5.5</v>
      </c>
      <c r="G37" s="317">
        <v>3.33</v>
      </c>
      <c r="H37" s="317">
        <v>12</v>
      </c>
      <c r="I37" s="317">
        <v>1.5</v>
      </c>
      <c r="J37" s="317">
        <v>2</v>
      </c>
      <c r="K37" s="317">
        <v>5</v>
      </c>
      <c r="L37" s="318">
        <v>7</v>
      </c>
      <c r="M37" s="318"/>
      <c r="N37" s="319">
        <f>160+11+1+1</f>
        <v>173</v>
      </c>
      <c r="O37" s="319">
        <v>2.34</v>
      </c>
      <c r="P37" s="319">
        <v>0</v>
      </c>
      <c r="Q37" s="319">
        <v>2</v>
      </c>
      <c r="R37" s="319"/>
      <c r="S37" s="320"/>
      <c r="T37" s="321">
        <f>SUM(F37:R37)</f>
        <v>213.67</v>
      </c>
      <c r="V37" s="256"/>
    </row>
    <row r="38" spans="2:22" ht="3" customHeight="1">
      <c r="B38" s="3"/>
      <c r="C38" s="3"/>
      <c r="D38" s="80"/>
      <c r="F38" s="313"/>
      <c r="G38" s="313"/>
      <c r="H38" s="313"/>
      <c r="I38" s="313"/>
      <c r="J38" s="313"/>
      <c r="K38" s="313"/>
      <c r="L38" s="314"/>
      <c r="M38" s="314"/>
      <c r="N38" s="315"/>
      <c r="O38" s="315"/>
      <c r="P38" s="315"/>
      <c r="Q38" s="315"/>
      <c r="R38" s="315"/>
      <c r="S38" s="22"/>
      <c r="T38" s="316"/>
      <c r="V38" s="256"/>
    </row>
    <row r="39" spans="1:22" ht="12.75">
      <c r="A39" s="310" t="s">
        <v>102</v>
      </c>
      <c r="B39" s="310"/>
      <c r="C39" s="3"/>
      <c r="D39" s="80"/>
      <c r="F39" s="317">
        <v>6</v>
      </c>
      <c r="G39" s="317">
        <v>5.5</v>
      </c>
      <c r="H39" s="317">
        <v>5</v>
      </c>
      <c r="I39" s="317">
        <v>0</v>
      </c>
      <c r="J39" s="317">
        <v>2</v>
      </c>
      <c r="K39" s="317">
        <v>1</v>
      </c>
      <c r="L39" s="318">
        <v>10</v>
      </c>
      <c r="M39" s="318"/>
      <c r="N39" s="319">
        <f>112+2+10+13</f>
        <v>137</v>
      </c>
      <c r="O39" s="319">
        <v>0</v>
      </c>
      <c r="P39" s="319">
        <v>19.83</v>
      </c>
      <c r="Q39" s="319">
        <v>5</v>
      </c>
      <c r="R39" s="319"/>
      <c r="S39" s="320"/>
      <c r="T39" s="321">
        <f>SUM(F39:R39)</f>
        <v>191.32999999999998</v>
      </c>
      <c r="V39" s="256"/>
    </row>
    <row r="40" spans="2:22" ht="3" customHeight="1">
      <c r="B40" s="3"/>
      <c r="C40" s="3"/>
      <c r="D40" s="80"/>
      <c r="F40" s="322"/>
      <c r="G40" s="322"/>
      <c r="H40" s="322"/>
      <c r="I40" s="322"/>
      <c r="J40" s="322"/>
      <c r="K40" s="322"/>
      <c r="L40" s="323"/>
      <c r="M40" s="323"/>
      <c r="N40" s="324"/>
      <c r="O40" s="324"/>
      <c r="P40" s="324"/>
      <c r="Q40" s="324"/>
      <c r="R40" s="324"/>
      <c r="S40" s="325"/>
      <c r="T40" s="326"/>
      <c r="V40" s="256"/>
    </row>
    <row r="41" spans="1:20" ht="14.25">
      <c r="A41" s="311" t="s">
        <v>149</v>
      </c>
      <c r="B41" s="310"/>
      <c r="C41" s="3"/>
      <c r="D41" s="301"/>
      <c r="F41" s="164">
        <f aca="true" t="shared" si="7" ref="F41:K41">F24/(SUM($F$24:$K$24,$L$25))</f>
        <v>0.1843147610245577</v>
      </c>
      <c r="G41" s="164">
        <f t="shared" si="7"/>
        <v>0.1542117771322947</v>
      </c>
      <c r="H41" s="164">
        <f t="shared" si="7"/>
        <v>0.12622128333773436</v>
      </c>
      <c r="I41" s="164">
        <f t="shared" si="7"/>
        <v>0.03591233166094534</v>
      </c>
      <c r="J41" s="164">
        <f t="shared" si="7"/>
        <v>0.05466068127805651</v>
      </c>
      <c r="K41" s="164">
        <f t="shared" si="7"/>
        <v>0.2886189595986269</v>
      </c>
      <c r="L41" s="164">
        <f>L25/(SUM($F$24:$K$24,$L$25))</f>
        <v>0.15606020596778453</v>
      </c>
      <c r="M41" s="302"/>
      <c r="N41" s="341"/>
      <c r="O41" s="341"/>
      <c r="P41" s="341"/>
      <c r="Q41" s="341"/>
      <c r="R41" s="341"/>
      <c r="S41" s="202"/>
      <c r="T41" s="164">
        <f>SUM(F41:R41)</f>
        <v>1</v>
      </c>
    </row>
    <row r="42" spans="1:20" ht="6" customHeight="1">
      <c r="A42" s="42"/>
      <c r="B42" s="42"/>
      <c r="C42" s="3"/>
      <c r="D42" s="301"/>
      <c r="F42" s="269"/>
      <c r="G42" s="269"/>
      <c r="H42" s="269"/>
      <c r="I42" s="269"/>
      <c r="J42" s="269"/>
      <c r="K42" s="269"/>
      <c r="L42" s="269"/>
      <c r="M42" s="269"/>
      <c r="N42" s="269"/>
      <c r="O42" s="269"/>
      <c r="P42" s="269"/>
      <c r="Q42" s="269"/>
      <c r="R42" s="269"/>
      <c r="S42" s="202"/>
      <c r="T42" s="269"/>
    </row>
    <row r="43" spans="1:20" ht="15">
      <c r="A43" s="327"/>
      <c r="B43" s="42"/>
      <c r="C43" s="3"/>
      <c r="D43" s="301"/>
      <c r="F43" s="342" t="s">
        <v>143</v>
      </c>
      <c r="G43" s="342" t="s">
        <v>144</v>
      </c>
      <c r="H43" s="343" t="s">
        <v>134</v>
      </c>
      <c r="I43" s="344" t="s">
        <v>146</v>
      </c>
      <c r="J43" s="269"/>
      <c r="K43" s="269"/>
      <c r="L43" s="269"/>
      <c r="M43" s="269"/>
      <c r="N43" s="269"/>
      <c r="O43" s="269"/>
      <c r="P43" s="269"/>
      <c r="Q43" s="269"/>
      <c r="R43" s="269"/>
      <c r="S43" s="202"/>
      <c r="T43" s="269"/>
    </row>
    <row r="44" spans="1:13" ht="14.25">
      <c r="A44" s="17" t="s">
        <v>140</v>
      </c>
      <c r="B44" s="299">
        <f>(SUM('IT Cost Center Allocations'!$Z$32,'IT Cost Center Allocations'!$AA$32,'IT Cost Center Allocations'!$AB$32)-'Dept Allocations'!$R$41)/I$55</f>
        <v>18093.76415189185</v>
      </c>
      <c r="D44" s="299">
        <f>B44*F44</f>
        <v>2895002.264302696</v>
      </c>
      <c r="F44" s="333">
        <f>N37-13</f>
        <v>160</v>
      </c>
      <c r="G44" s="333"/>
      <c r="H44" s="312"/>
      <c r="I44" s="334">
        <f>SUM(F44)</f>
        <v>160</v>
      </c>
      <c r="J44" s="3"/>
      <c r="M44" s="42"/>
    </row>
    <row r="45" spans="1:11" ht="14.25">
      <c r="A45" s="17" t="s">
        <v>141</v>
      </c>
      <c r="B45" s="299">
        <f>$B$44/5</f>
        <v>3618.75283037837</v>
      </c>
      <c r="D45" s="19">
        <f>B45*G45</f>
        <v>405300.3170023775</v>
      </c>
      <c r="F45" s="335"/>
      <c r="G45" s="335">
        <f>N39-25</f>
        <v>112</v>
      </c>
      <c r="H45" s="336">
        <f>G45/5</f>
        <v>22.4</v>
      </c>
      <c r="I45" s="303">
        <f>H45</f>
        <v>22.4</v>
      </c>
      <c r="J45" s="3"/>
      <c r="K45" s="42"/>
    </row>
    <row r="46" spans="2:11" ht="14.25">
      <c r="B46" s="331" t="s">
        <v>148</v>
      </c>
      <c r="D46" s="330">
        <f>SUM(D44:D45)</f>
        <v>3300302.5813050736</v>
      </c>
      <c r="F46" s="335"/>
      <c r="G46" s="335"/>
      <c r="H46" s="336"/>
      <c r="I46" s="303"/>
      <c r="J46" s="3"/>
      <c r="K46" s="42"/>
    </row>
    <row r="47" spans="1:12" ht="14.25">
      <c r="A47" s="17" t="s">
        <v>142</v>
      </c>
      <c r="B47" s="299">
        <f>B44</f>
        <v>18093.76415189185</v>
      </c>
      <c r="D47" s="300">
        <f>B47*F47</f>
        <v>735873.3880574413</v>
      </c>
      <c r="F47" s="335">
        <f>T37-(F44+F52)</f>
        <v>40.66999999999999</v>
      </c>
      <c r="G47" s="335"/>
      <c r="H47" s="303"/>
      <c r="I47" s="303">
        <f>F47</f>
        <v>40.66999999999999</v>
      </c>
      <c r="J47" s="3"/>
      <c r="K47" s="42"/>
      <c r="L47" s="226"/>
    </row>
    <row r="48" spans="1:12" ht="14.25">
      <c r="A48" s="17" t="s">
        <v>145</v>
      </c>
      <c r="B48" s="299">
        <f>B45</f>
        <v>3618.75283037837</v>
      </c>
      <c r="C48" s="3"/>
      <c r="D48" s="300">
        <f>B48*G48</f>
        <v>196606.8412744568</v>
      </c>
      <c r="F48" s="335"/>
      <c r="G48" s="335">
        <f>T39-(G45+G53)</f>
        <v>54.329999999999984</v>
      </c>
      <c r="H48" s="336">
        <f>G48/5</f>
        <v>10.865999999999996</v>
      </c>
      <c r="I48" s="303">
        <f>H48</f>
        <v>10.865999999999996</v>
      </c>
      <c r="J48" s="42"/>
      <c r="K48" s="3"/>
      <c r="L48" s="3"/>
    </row>
    <row r="49" spans="1:12" ht="14.25">
      <c r="A49" s="17"/>
      <c r="B49" s="366" t="s">
        <v>193</v>
      </c>
      <c r="D49" s="368">
        <f>'Dept Allocations'!R41</f>
        <v>18000</v>
      </c>
      <c r="F49" s="335"/>
      <c r="G49" s="335"/>
      <c r="H49" s="336"/>
      <c r="I49" s="303"/>
      <c r="J49" s="42"/>
      <c r="K49" s="3"/>
      <c r="L49" s="3"/>
    </row>
    <row r="50" spans="2:11" ht="14.25">
      <c r="B50" s="331" t="s">
        <v>154</v>
      </c>
      <c r="C50" s="3"/>
      <c r="D50" s="367">
        <f>SUM(D47:D49)</f>
        <v>950480.2293318982</v>
      </c>
      <c r="F50" s="333">
        <f>SUM(F44:F49)</f>
        <v>200.67</v>
      </c>
      <c r="G50" s="333">
        <f>SUM(G44:G49)</f>
        <v>166.32999999999998</v>
      </c>
      <c r="H50" s="333">
        <f>SUM(H44:H49)</f>
        <v>33.26599999999999</v>
      </c>
      <c r="I50" s="333">
        <f>SUM(I44:I49)</f>
        <v>233.93599999999998</v>
      </c>
      <c r="J50" s="3"/>
      <c r="K50" s="42"/>
    </row>
    <row r="51" spans="2:11" ht="15" thickBot="1">
      <c r="B51" s="331" t="s">
        <v>155</v>
      </c>
      <c r="D51" s="332">
        <f>SUM(D46,D50)</f>
        <v>4250782.810636972</v>
      </c>
      <c r="G51" s="340"/>
      <c r="H51" s="336"/>
      <c r="I51" s="340"/>
      <c r="J51" s="3"/>
      <c r="K51" s="42"/>
    </row>
    <row r="52" spans="1:11" ht="15" thickTop="1">
      <c r="A52" s="306" t="s">
        <v>153</v>
      </c>
      <c r="B52" s="299">
        <f>B44</f>
        <v>18093.76415189185</v>
      </c>
      <c r="D52" s="300">
        <f>B52*F52</f>
        <v>235218.93397459405</v>
      </c>
      <c r="F52" s="335">
        <f>11+1+1</f>
        <v>13</v>
      </c>
      <c r="G52" s="340"/>
      <c r="H52" s="340"/>
      <c r="I52" s="303">
        <f>F52</f>
        <v>13</v>
      </c>
      <c r="J52" s="3"/>
      <c r="K52" s="42"/>
    </row>
    <row r="53" spans="1:11" ht="14.25">
      <c r="A53" s="306" t="s">
        <v>152</v>
      </c>
      <c r="B53" s="299">
        <f>B45</f>
        <v>3618.75283037837</v>
      </c>
      <c r="D53" s="300">
        <f>B53*G53</f>
        <v>90468.82075945925</v>
      </c>
      <c r="F53" s="335"/>
      <c r="G53" s="335">
        <f>2+10+13</f>
        <v>25</v>
      </c>
      <c r="H53" s="336">
        <f>G53/5</f>
        <v>5</v>
      </c>
      <c r="I53" s="303">
        <f>H53</f>
        <v>5</v>
      </c>
      <c r="J53" s="3"/>
      <c r="K53" s="42"/>
    </row>
    <row r="54" spans="1:11" ht="14.25">
      <c r="A54" s="306"/>
      <c r="B54" s="331" t="s">
        <v>192</v>
      </c>
      <c r="D54" s="330">
        <f>SUM(D52:D53)</f>
        <v>325687.7547340533</v>
      </c>
      <c r="F54" s="337"/>
      <c r="G54" s="337"/>
      <c r="H54" s="338"/>
      <c r="I54" s="339"/>
      <c r="J54" s="3"/>
      <c r="K54" s="42"/>
    </row>
    <row r="55" spans="2:12" ht="15" thickBot="1">
      <c r="B55" s="3"/>
      <c r="C55" s="3"/>
      <c r="D55" s="305">
        <f>SUM(D51,D54)</f>
        <v>4576470.565371025</v>
      </c>
      <c r="F55" s="304">
        <f>SUM(F50:F54)</f>
        <v>213.67</v>
      </c>
      <c r="G55" s="304">
        <f>SUM(G50:G54)</f>
        <v>191.32999999999998</v>
      </c>
      <c r="H55" s="359">
        <f>SUM(H50:H54)</f>
        <v>38.26599999999999</v>
      </c>
      <c r="I55" s="359">
        <f>SUM(I50:I54)</f>
        <v>251.93599999999998</v>
      </c>
      <c r="J55" s="42"/>
      <c r="K55" s="3"/>
      <c r="L55" s="3"/>
    </row>
    <row r="56" spans="2:12" ht="13.5" thickTop="1">
      <c r="B56" s="3"/>
      <c r="C56" s="3"/>
      <c r="D56" s="3"/>
      <c r="F56" s="3"/>
      <c r="J56" s="3"/>
      <c r="K56" s="272"/>
      <c r="L56" s="3"/>
    </row>
  </sheetData>
  <mergeCells count="9">
    <mergeCell ref="A1:T1"/>
    <mergeCell ref="A3:B3"/>
    <mergeCell ref="A5:B5"/>
    <mergeCell ref="A28:B28"/>
    <mergeCell ref="A11:B11"/>
    <mergeCell ref="A15:B15"/>
    <mergeCell ref="A7:B7"/>
    <mergeCell ref="A9:B9"/>
    <mergeCell ref="A13:B13"/>
  </mergeCells>
  <dataValidations count="15">
    <dataValidation allowBlank="1" showInputMessage="1" showErrorMessage="1" prompt="Total Customer Advocacy Plan Budget * Allocable % by Customer (based on historical FY08 Time Tracker Data - adjusted to reflect FY10 Planning)" sqref="C28"/>
    <dataValidation allowBlank="1" showInputMessage="1" showErrorMessage="1" prompt="Total Data Services FY10 Plan Budget * Allocable % by Customer (based on historical FY08 Time Tracker Data - adjusted to reflect FY10 Planning)" sqref="A30"/>
    <dataValidation allowBlank="1" showInputMessage="1" showErrorMessage="1" prompt="Total GIS Plan Budget * % of time spent on GIS Enterprise related work / Total Device Count = GIS Enterprise Rate * Department's Device Count." sqref="A33"/>
    <dataValidation allowBlank="1" showInputMessage="1" showErrorMessage="1" prompt="Total Web Plan Budget * Allocable % by Customer (based on historical FY08 Time Tracker Data - adjusted to reflect FY10 Planning)" sqref="A14"/>
    <dataValidation allowBlank="1" showInputMessage="1" showErrorMessage="1" prompt="Total Desktop Services Plan Budget / Total Device Count = Device Rate * Total Device by Customer (based on device count provided by Desktop Svcs Manager - Stan Johnson)" sqref="A15"/>
    <dataValidation allowBlank="1" showInputMessage="1" showErrorMessage="1" prompt="Total Data &amp; Reporting Services Plan Budget * Project Allocable % * Customer Allocable % (based on historical FY08 Time Tracker Data - adjusted to reflect FY10 Planning)" sqref="A31"/>
    <dataValidation allowBlank="1" showInputMessage="1" showErrorMessage="1" prompt="Total GGOS Plan Budget multiplied by Enterprise % = Enteprise Budget.&#10;Enterprise budget divided by Total Device Count = GGOS Enterprise Rate multiplied by Department's Device Count." sqref="A13"/>
    <dataValidation allowBlank="1" showInputMessage="1" showErrorMessage="1" prompt="Total GIS Plan Budget * Project Allocable % * Customer Allocable % (based on historical FY08 Time Tracker Data - adjusted to reflect FY10 Planning)" sqref="A35"/>
    <dataValidation allowBlank="1" showInputMessage="1" showErrorMessage="1" prompt="Total Help Desk Plan Budget / Total Device Count = Device Rate * Total Device by Customer (based on device count provided by Desktop Svcs Manager - Stan Johnson)" sqref="C7"/>
    <dataValidation allowBlank="1" showInputMessage="1" showErrorMessage="1" prompt="Total WAN (Network Svcs) Plan Budget / Total Device Count = Device Rate * Total Device by Customer" sqref="C9"/>
    <dataValidation allowBlank="1" showInputMessage="1" showErrorMessage="1" prompt="Number of employee within a Department / Total Employee Population = &#10;Sevice Rate multiplied by SAP count" sqref="A28:B28"/>
    <dataValidation allowBlank="1" showInputMessage="1" showErrorMessage="1" prompt="(Total Network Services Plan Budget (WAN) less direct charges) / Total Circuit Count = Circuit Rate &#10;Circuit Rate * Number of circuits by Dept" sqref="A9:B9"/>
    <dataValidation allowBlank="1" showInputMessage="1" showErrorMessage="1" prompt="Total Application Svc Plan Budget * Allocable % by Dept" sqref="A5:B5"/>
    <dataValidation allowBlank="1" showInputMessage="1" showErrorMessage="1" prompt="Total Help Desk Plan Budget / Total Device Count = Device Rate * Total Device count by Dept (based on device count provided by Desktop Svcs Manager - Stan Johnson)" sqref="A7:B7"/>
    <dataValidation allowBlank="1" showInputMessage="1" showErrorMessage="1" prompt="Total Security Plan Budget/total device count = Servce Rate&#10;Service Rate mulitiplied by total device count by Dept" sqref="A11:B11"/>
  </dataValidations>
  <printOptions horizontalCentered="1" verticalCentered="1"/>
  <pageMargins left="0.75" right="0.75" top="0.5" bottom="1" header="0.5" footer="0.5"/>
  <pageSetup fitToHeight="1" fitToWidth="1" horizontalDpi="600" verticalDpi="600" orientation="landscape" scale="72" r:id="rId3"/>
  <headerFooter alignWithMargins="0">
    <oddHeader>&amp;L&amp;A&amp;RPrinted on &amp;D at &amp;T</oddHeader>
    <oddFooter>&amp;L&amp;Z
&amp;F&amp;RPage &amp;P of 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P44"/>
  <sheetViews>
    <sheetView showGridLines="0" showZeros="0" zoomScale="90" zoomScaleNormal="90" workbookViewId="0" topLeftCell="A1">
      <pane xSplit="2" ySplit="10" topLeftCell="V11" activePane="bottomRight" state="frozen"/>
      <selection pane="topLeft" activeCell="A1" sqref="A1"/>
      <selection pane="topRight" activeCell="C1" sqref="C1"/>
      <selection pane="bottomLeft" activeCell="A21" sqref="A21"/>
      <selection pane="bottomRight" activeCell="Y47" sqref="Y47"/>
    </sheetView>
  </sheetViews>
  <sheetFormatPr defaultColWidth="9.140625" defaultRowHeight="12.75"/>
  <cols>
    <col min="1" max="1" width="4.8515625" style="1" customWidth="1"/>
    <col min="2" max="2" width="28.28125" style="2" bestFit="1" customWidth="1"/>
    <col min="3" max="3" width="14.140625" style="1" bestFit="1" customWidth="1"/>
    <col min="4" max="4" width="15.57421875" style="1" bestFit="1" customWidth="1"/>
    <col min="5" max="5" width="13.421875" style="1" customWidth="1"/>
    <col min="6" max="6" width="14.140625" style="1" bestFit="1" customWidth="1"/>
    <col min="7" max="7" width="12.140625" style="1" customWidth="1"/>
    <col min="8" max="10" width="12.421875" style="1" bestFit="1" customWidth="1"/>
    <col min="11" max="11" width="0.9921875" style="3" customWidth="1"/>
    <col min="12" max="12" width="14.140625" style="1" bestFit="1" customWidth="1"/>
    <col min="13" max="13" width="14.28125" style="1" bestFit="1" customWidth="1"/>
    <col min="14" max="14" width="15.00390625" style="1" bestFit="1" customWidth="1"/>
    <col min="15" max="15" width="14.8515625" style="1" bestFit="1" customWidth="1"/>
    <col min="16" max="16" width="14.57421875" style="1" bestFit="1" customWidth="1"/>
    <col min="17" max="18" width="13.7109375" style="1" customWidth="1"/>
    <col min="19" max="19" width="14.140625" style="1" bestFit="1" customWidth="1"/>
    <col min="20" max="20" width="13.7109375" style="1" customWidth="1"/>
    <col min="21" max="21" width="14.28125" style="1" bestFit="1" customWidth="1"/>
    <col min="22" max="22" width="14.140625" style="1" bestFit="1" customWidth="1"/>
    <col min="23" max="23" width="0.85546875" style="3" customWidth="1"/>
    <col min="24" max="25" width="13.7109375" style="1" customWidth="1"/>
    <col min="26" max="26" width="18.7109375" style="1" bestFit="1" customWidth="1"/>
    <col min="27" max="27" width="14.7109375" style="1" customWidth="1"/>
    <col min="28" max="28" width="13.7109375" style="1" customWidth="1"/>
    <col min="29" max="29" width="1.28515625" style="3" customWidth="1"/>
    <col min="30" max="30" width="15.8515625" style="3" bestFit="1" customWidth="1"/>
    <col min="31" max="31" width="1.28515625" style="3" customWidth="1"/>
    <col min="32" max="34" width="14.7109375" style="1" customWidth="1"/>
    <col min="35" max="35" width="1.28515625" style="3" customWidth="1"/>
    <col min="36" max="37" width="14.7109375" style="1" customWidth="1"/>
    <col min="38" max="38" width="1.28515625" style="3" customWidth="1"/>
    <col min="39" max="39" width="12.7109375" style="3" bestFit="1" customWidth="1"/>
    <col min="40" max="40" width="10.00390625" style="3" bestFit="1" customWidth="1"/>
    <col min="41" max="41" width="9.140625" style="3" customWidth="1"/>
    <col min="43" max="16384" width="9.140625" style="3" customWidth="1"/>
  </cols>
  <sheetData>
    <row r="1" spans="1:12" ht="51" customHeight="1">
      <c r="A1" s="384" t="s">
        <v>147</v>
      </c>
      <c r="B1" s="384"/>
      <c r="D1" s="273"/>
      <c r="E1" s="273"/>
      <c r="F1" s="273"/>
      <c r="G1" s="273"/>
      <c r="H1" s="273"/>
      <c r="I1" s="273"/>
      <c r="J1" s="273"/>
      <c r="L1" s="273"/>
    </row>
    <row r="2" ht="6" customHeight="1">
      <c r="B2" s="43"/>
    </row>
    <row r="3" spans="2:38" ht="15">
      <c r="B3" s="44" t="s">
        <v>30</v>
      </c>
      <c r="C3" s="4" t="s">
        <v>31</v>
      </c>
      <c r="D3" s="4" t="s">
        <v>31</v>
      </c>
      <c r="E3" s="4" t="s">
        <v>31</v>
      </c>
      <c r="F3" s="4" t="s">
        <v>31</v>
      </c>
      <c r="G3" s="4" t="s">
        <v>31</v>
      </c>
      <c r="H3" s="4" t="s">
        <v>31</v>
      </c>
      <c r="I3" s="4" t="s">
        <v>31</v>
      </c>
      <c r="J3" s="4" t="s">
        <v>31</v>
      </c>
      <c r="K3" s="36"/>
      <c r="L3" s="4" t="s">
        <v>31</v>
      </c>
      <c r="M3" s="4" t="s">
        <v>31</v>
      </c>
      <c r="N3" s="4" t="s">
        <v>31</v>
      </c>
      <c r="O3" s="4" t="s">
        <v>32</v>
      </c>
      <c r="P3" s="4" t="s">
        <v>32</v>
      </c>
      <c r="Q3" s="4" t="s">
        <v>32</v>
      </c>
      <c r="R3" s="4" t="s">
        <v>32</v>
      </c>
      <c r="S3" s="4" t="s">
        <v>32</v>
      </c>
      <c r="T3" s="4" t="s">
        <v>32</v>
      </c>
      <c r="U3" s="4" t="s">
        <v>32</v>
      </c>
      <c r="V3" s="4" t="s">
        <v>12</v>
      </c>
      <c r="W3" s="7"/>
      <c r="X3" s="4" t="s">
        <v>32</v>
      </c>
      <c r="Y3" s="4" t="s">
        <v>32</v>
      </c>
      <c r="Z3" s="4" t="s">
        <v>32</v>
      </c>
      <c r="AA3" s="4" t="s">
        <v>32</v>
      </c>
      <c r="AB3" s="4" t="s">
        <v>32</v>
      </c>
      <c r="AF3" s="4" t="s">
        <v>31</v>
      </c>
      <c r="AG3" s="4" t="s">
        <v>32</v>
      </c>
      <c r="AH3" s="4" t="s">
        <v>12</v>
      </c>
      <c r="AI3" s="1"/>
      <c r="AJ3" s="4" t="s">
        <v>120</v>
      </c>
      <c r="AK3" s="4" t="s">
        <v>120</v>
      </c>
      <c r="AL3" s="1"/>
    </row>
    <row r="4" spans="2:38" ht="7.5" customHeight="1">
      <c r="B4" s="44"/>
      <c r="C4" s="16"/>
      <c r="D4" s="16"/>
      <c r="E4" s="16"/>
      <c r="F4" s="16"/>
      <c r="G4" s="16"/>
      <c r="H4" s="16"/>
      <c r="I4" s="16"/>
      <c r="J4" s="16"/>
      <c r="K4" s="7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7"/>
      <c r="X4" s="16"/>
      <c r="Y4" s="16"/>
      <c r="Z4" s="7"/>
      <c r="AA4" s="7"/>
      <c r="AB4" s="16"/>
      <c r="AF4" s="18"/>
      <c r="AG4" s="18"/>
      <c r="AH4" s="18"/>
      <c r="AI4" s="1"/>
      <c r="AJ4" s="7"/>
      <c r="AK4" s="7"/>
      <c r="AL4" s="1"/>
    </row>
    <row r="5" spans="1:34" s="13" customFormat="1" ht="15">
      <c r="A5" s="12"/>
      <c r="B5" s="45" t="s">
        <v>22</v>
      </c>
      <c r="C5" s="14" t="s">
        <v>33</v>
      </c>
      <c r="D5" s="14" t="s">
        <v>33</v>
      </c>
      <c r="E5" s="14" t="s">
        <v>33</v>
      </c>
      <c r="F5" s="14" t="s">
        <v>33</v>
      </c>
      <c r="G5" s="14" t="s">
        <v>33</v>
      </c>
      <c r="H5" s="14" t="s">
        <v>33</v>
      </c>
      <c r="I5" s="14" t="s">
        <v>33</v>
      </c>
      <c r="J5" s="14" t="s">
        <v>33</v>
      </c>
      <c r="K5" s="37"/>
      <c r="L5" s="14" t="s">
        <v>33</v>
      </c>
      <c r="M5" s="14" t="s">
        <v>15</v>
      </c>
      <c r="N5" s="14" t="s">
        <v>72</v>
      </c>
      <c r="O5" s="14" t="s">
        <v>3</v>
      </c>
      <c r="P5" s="14" t="s">
        <v>71</v>
      </c>
      <c r="Q5" s="258" t="s">
        <v>127</v>
      </c>
      <c r="R5" s="14" t="s">
        <v>165</v>
      </c>
      <c r="S5" s="14" t="s">
        <v>0</v>
      </c>
      <c r="T5" s="258" t="s">
        <v>127</v>
      </c>
      <c r="U5" s="14" t="s">
        <v>2</v>
      </c>
      <c r="V5" s="14" t="s">
        <v>12</v>
      </c>
      <c r="X5" s="258" t="s">
        <v>127</v>
      </c>
      <c r="Y5" s="258" t="s">
        <v>127</v>
      </c>
      <c r="Z5" s="14" t="s">
        <v>21</v>
      </c>
      <c r="AA5" s="14" t="s">
        <v>21</v>
      </c>
      <c r="AB5" s="258" t="s">
        <v>127</v>
      </c>
      <c r="AF5" s="385" t="s">
        <v>125</v>
      </c>
      <c r="AG5" s="385"/>
      <c r="AH5" s="385"/>
    </row>
    <row r="6" spans="1:39" s="15" customFormat="1" ht="39.75" customHeight="1">
      <c r="A6" s="5"/>
      <c r="B6" s="46" t="s">
        <v>45</v>
      </c>
      <c r="C6" s="6" t="s">
        <v>112</v>
      </c>
      <c r="D6" s="6" t="s">
        <v>19</v>
      </c>
      <c r="E6" s="6" t="s">
        <v>16</v>
      </c>
      <c r="F6" s="6" t="s">
        <v>20</v>
      </c>
      <c r="G6" s="6" t="s">
        <v>43</v>
      </c>
      <c r="H6" s="6" t="s">
        <v>14</v>
      </c>
      <c r="I6" s="6" t="s">
        <v>113</v>
      </c>
      <c r="J6" s="6" t="s">
        <v>184</v>
      </c>
      <c r="K6" s="38"/>
      <c r="L6" s="6" t="s">
        <v>121</v>
      </c>
      <c r="M6" s="6" t="s">
        <v>15</v>
      </c>
      <c r="N6" s="6" t="s">
        <v>135</v>
      </c>
      <c r="O6" s="6" t="s">
        <v>6</v>
      </c>
      <c r="P6" s="6" t="s">
        <v>8</v>
      </c>
      <c r="Q6" s="6" t="s">
        <v>8</v>
      </c>
      <c r="R6" s="6" t="s">
        <v>165</v>
      </c>
      <c r="S6" s="6" t="s">
        <v>0</v>
      </c>
      <c r="T6" s="6" t="s">
        <v>128</v>
      </c>
      <c r="U6" s="6" t="s">
        <v>2</v>
      </c>
      <c r="V6" s="6" t="s">
        <v>116</v>
      </c>
      <c r="W6" s="8"/>
      <c r="X6" s="6" t="s">
        <v>7</v>
      </c>
      <c r="Y6" s="6" t="s">
        <v>5</v>
      </c>
      <c r="Z6" s="33" t="s">
        <v>17</v>
      </c>
      <c r="AA6" s="33" t="s">
        <v>1</v>
      </c>
      <c r="AB6" s="33" t="s">
        <v>129</v>
      </c>
      <c r="AC6" s="8"/>
      <c r="AD6" s="8"/>
      <c r="AE6" s="8"/>
      <c r="AF6" s="29" t="s">
        <v>9</v>
      </c>
      <c r="AG6" s="29" t="s">
        <v>13</v>
      </c>
      <c r="AH6" s="29" t="s">
        <v>117</v>
      </c>
      <c r="AI6" s="8"/>
      <c r="AJ6" s="30" t="s">
        <v>123</v>
      </c>
      <c r="AK6" s="30" t="s">
        <v>122</v>
      </c>
      <c r="AM6" s="296" t="s">
        <v>23</v>
      </c>
    </row>
    <row r="7" spans="2:39" ht="25.5">
      <c r="B7" s="42" t="s">
        <v>4</v>
      </c>
      <c r="C7" s="4">
        <v>709656</v>
      </c>
      <c r="D7" s="4">
        <v>709120</v>
      </c>
      <c r="E7" s="4">
        <v>709175</v>
      </c>
      <c r="F7" s="4">
        <v>709609</v>
      </c>
      <c r="G7" s="4">
        <v>709604</v>
      </c>
      <c r="H7" s="4">
        <v>709127</v>
      </c>
      <c r="I7" s="4">
        <v>709128</v>
      </c>
      <c r="J7" s="358">
        <v>709616</v>
      </c>
      <c r="K7" s="36"/>
      <c r="L7" s="4">
        <v>709130</v>
      </c>
      <c r="M7" s="4">
        <v>709151</v>
      </c>
      <c r="N7" s="4">
        <v>709140</v>
      </c>
      <c r="O7" s="4">
        <v>709155</v>
      </c>
      <c r="P7" s="4">
        <v>709510</v>
      </c>
      <c r="Q7" s="4">
        <v>709620</v>
      </c>
      <c r="R7" s="249" t="s">
        <v>166</v>
      </c>
      <c r="S7" s="249">
        <v>709525</v>
      </c>
      <c r="T7" s="4">
        <v>709619</v>
      </c>
      <c r="U7" s="4">
        <v>709535</v>
      </c>
      <c r="V7" s="249" t="s">
        <v>118</v>
      </c>
      <c r="W7" s="7"/>
      <c r="X7" s="4">
        <v>709617</v>
      </c>
      <c r="Y7" s="4">
        <v>709618</v>
      </c>
      <c r="Z7" s="4">
        <v>709530</v>
      </c>
      <c r="AA7" s="4">
        <v>709540</v>
      </c>
      <c r="AB7" s="4">
        <v>709621</v>
      </c>
      <c r="AC7" s="7"/>
      <c r="AD7" s="7"/>
      <c r="AE7" s="7"/>
      <c r="AF7" s="4">
        <v>709599</v>
      </c>
      <c r="AG7" s="4">
        <v>709505</v>
      </c>
      <c r="AH7" s="4">
        <v>709186</v>
      </c>
      <c r="AI7" s="7"/>
      <c r="AJ7" s="249">
        <v>709600</v>
      </c>
      <c r="AK7" s="249" t="s">
        <v>124</v>
      </c>
      <c r="AM7" s="285"/>
    </row>
    <row r="8" spans="1:39" s="15" customFormat="1" ht="14.25">
      <c r="A8" s="5"/>
      <c r="B8" s="42" t="s">
        <v>29</v>
      </c>
      <c r="C8" s="92" t="s">
        <v>11</v>
      </c>
      <c r="D8" s="92" t="s">
        <v>11</v>
      </c>
      <c r="E8" s="92" t="s">
        <v>11</v>
      </c>
      <c r="F8" s="92" t="s">
        <v>11</v>
      </c>
      <c r="G8" s="92" t="s">
        <v>11</v>
      </c>
      <c r="H8" s="92" t="s">
        <v>11</v>
      </c>
      <c r="I8" s="92" t="s">
        <v>11</v>
      </c>
      <c r="J8" s="92" t="s">
        <v>11</v>
      </c>
      <c r="K8" s="38"/>
      <c r="L8" s="268" t="s">
        <v>11</v>
      </c>
      <c r="M8" s="87" t="s">
        <v>38</v>
      </c>
      <c r="N8" s="91" t="s">
        <v>38</v>
      </c>
      <c r="O8" s="90" t="s">
        <v>38</v>
      </c>
      <c r="P8" s="73" t="s">
        <v>38</v>
      </c>
      <c r="Q8" s="73" t="s">
        <v>38</v>
      </c>
      <c r="R8" s="347" t="s">
        <v>38</v>
      </c>
      <c r="S8" s="297" t="s">
        <v>38</v>
      </c>
      <c r="T8" s="297" t="s">
        <v>38</v>
      </c>
      <c r="U8" s="88" t="s">
        <v>38</v>
      </c>
      <c r="V8" s="86" t="s">
        <v>38</v>
      </c>
      <c r="W8" s="8"/>
      <c r="X8" s="90" t="s">
        <v>38</v>
      </c>
      <c r="Y8" s="90" t="s">
        <v>38</v>
      </c>
      <c r="Z8" s="33" t="s">
        <v>38</v>
      </c>
      <c r="AA8" s="33" t="s">
        <v>38</v>
      </c>
      <c r="AB8" s="33" t="s">
        <v>38</v>
      </c>
      <c r="AC8" s="8"/>
      <c r="AD8" s="8"/>
      <c r="AE8" s="8"/>
      <c r="AF8" s="29" t="s">
        <v>18</v>
      </c>
      <c r="AG8" s="29" t="s">
        <v>18</v>
      </c>
      <c r="AH8" s="29" t="s">
        <v>18</v>
      </c>
      <c r="AI8" s="8"/>
      <c r="AJ8" s="30" t="s">
        <v>18</v>
      </c>
      <c r="AK8" s="30" t="s">
        <v>18</v>
      </c>
      <c r="AM8" s="295"/>
    </row>
    <row r="9" spans="2:39" ht="14.25">
      <c r="B9" s="42" t="s">
        <v>10</v>
      </c>
      <c r="C9" s="61" t="s">
        <v>50</v>
      </c>
      <c r="D9" s="61" t="s">
        <v>41</v>
      </c>
      <c r="E9" s="61" t="s">
        <v>41</v>
      </c>
      <c r="F9" s="61" t="s">
        <v>41</v>
      </c>
      <c r="G9" s="61" t="s">
        <v>39</v>
      </c>
      <c r="H9" s="61" t="s">
        <v>115</v>
      </c>
      <c r="I9" s="61" t="s">
        <v>115</v>
      </c>
      <c r="J9" s="61" t="s">
        <v>115</v>
      </c>
      <c r="K9" s="62"/>
      <c r="L9" s="61" t="s">
        <v>115</v>
      </c>
      <c r="M9" s="61" t="s">
        <v>115</v>
      </c>
      <c r="N9" s="61" t="s">
        <v>40</v>
      </c>
      <c r="O9" s="61" t="s">
        <v>42</v>
      </c>
      <c r="P9" s="61" t="s">
        <v>46</v>
      </c>
      <c r="Q9" s="61" t="s">
        <v>46</v>
      </c>
      <c r="R9" s="61" t="s">
        <v>46</v>
      </c>
      <c r="S9" s="61" t="s">
        <v>46</v>
      </c>
      <c r="T9" s="61" t="s">
        <v>46</v>
      </c>
      <c r="U9" s="61" t="s">
        <v>114</v>
      </c>
      <c r="V9" s="61" t="s">
        <v>52</v>
      </c>
      <c r="W9" s="7"/>
      <c r="X9" s="61" t="s">
        <v>42</v>
      </c>
      <c r="Y9" s="61" t="s">
        <v>42</v>
      </c>
      <c r="Z9" s="61" t="s">
        <v>51</v>
      </c>
      <c r="AA9" s="61" t="s">
        <v>114</v>
      </c>
      <c r="AB9" s="61" t="s">
        <v>51</v>
      </c>
      <c r="AC9" s="7"/>
      <c r="AD9" s="7"/>
      <c r="AE9" s="7"/>
      <c r="AF9" s="61" t="s">
        <v>47</v>
      </c>
      <c r="AG9" s="61" t="s">
        <v>48</v>
      </c>
      <c r="AH9" s="61" t="s">
        <v>52</v>
      </c>
      <c r="AI9" s="7"/>
      <c r="AJ9" s="61" t="s">
        <v>119</v>
      </c>
      <c r="AK9" s="61" t="s">
        <v>119</v>
      </c>
      <c r="AM9" s="22"/>
    </row>
    <row r="10" spans="1:39" ht="6" customHeight="1">
      <c r="A10" s="3"/>
      <c r="B10" s="42"/>
      <c r="C10" s="16"/>
      <c r="D10" s="16"/>
      <c r="E10" s="16"/>
      <c r="F10" s="16"/>
      <c r="G10" s="16"/>
      <c r="H10" s="16"/>
      <c r="I10" s="16"/>
      <c r="J10" s="16"/>
      <c r="K10" s="7"/>
      <c r="L10" s="16"/>
      <c r="M10" s="16"/>
      <c r="N10" s="16"/>
      <c r="O10" s="16"/>
      <c r="P10" s="16"/>
      <c r="Q10" s="16"/>
      <c r="R10" s="18"/>
      <c r="S10" s="18"/>
      <c r="T10" s="16"/>
      <c r="U10" s="16"/>
      <c r="V10" s="16"/>
      <c r="W10" s="7"/>
      <c r="X10" s="16"/>
      <c r="Y10" s="16"/>
      <c r="Z10" s="7"/>
      <c r="AA10" s="7"/>
      <c r="AB10" s="16"/>
      <c r="AC10" s="7"/>
      <c r="AD10" s="7"/>
      <c r="AE10" s="7"/>
      <c r="AF10" s="7"/>
      <c r="AG10" s="7"/>
      <c r="AH10" s="7"/>
      <c r="AI10" s="7"/>
      <c r="AJ10" s="7"/>
      <c r="AK10" s="7"/>
      <c r="AM10" s="22"/>
    </row>
    <row r="11" spans="1:39" ht="14.25">
      <c r="A11" s="3"/>
      <c r="B11" s="42" t="s">
        <v>102</v>
      </c>
      <c r="C11" s="260">
        <f>'Rate Calculators'!F39</f>
        <v>6</v>
      </c>
      <c r="D11" s="260">
        <f>'Rate Calculators'!P39</f>
        <v>19.83</v>
      </c>
      <c r="E11" s="260">
        <f>'Rate Calculators'!Q39</f>
        <v>5</v>
      </c>
      <c r="F11" s="260">
        <f>'Rate Calculators'!G39</f>
        <v>5.5</v>
      </c>
      <c r="G11" s="260">
        <f>'Rate Calculators'!K39</f>
        <v>1</v>
      </c>
      <c r="H11" s="260">
        <f>'Rate Calculators'!J39</f>
        <v>2</v>
      </c>
      <c r="I11" s="260">
        <f>'Rate Calculators'!H39</f>
        <v>5</v>
      </c>
      <c r="J11" s="260">
        <f>'Rate Calculators'!L39</f>
        <v>10</v>
      </c>
      <c r="K11" s="223"/>
      <c r="L11" s="222"/>
      <c r="M11" s="222">
        <v>10</v>
      </c>
      <c r="N11" s="222">
        <v>2</v>
      </c>
      <c r="O11" s="224"/>
      <c r="P11" s="224"/>
      <c r="Q11" s="224"/>
      <c r="R11" s="346"/>
      <c r="S11" s="117"/>
      <c r="T11" s="224"/>
      <c r="U11" s="224"/>
      <c r="V11" s="259">
        <v>13</v>
      </c>
      <c r="W11" s="7"/>
      <c r="X11" s="224"/>
      <c r="Y11" s="224"/>
      <c r="Z11" s="118"/>
      <c r="AA11" s="118"/>
      <c r="AB11" s="224"/>
      <c r="AC11" s="7"/>
      <c r="AD11" s="7"/>
      <c r="AE11" s="7"/>
      <c r="AF11" s="118"/>
      <c r="AG11" s="118"/>
      <c r="AH11" s="118"/>
      <c r="AI11" s="7"/>
      <c r="AJ11" s="118"/>
      <c r="AK11" s="118"/>
      <c r="AM11" s="22"/>
    </row>
    <row r="12" spans="1:39" ht="14.25">
      <c r="A12" s="3"/>
      <c r="B12" s="42" t="s">
        <v>103</v>
      </c>
      <c r="C12" s="260">
        <f>'Rate Calculators'!F37</f>
        <v>5.5</v>
      </c>
      <c r="D12" s="260">
        <f>'Rate Calculators'!P37</f>
        <v>0</v>
      </c>
      <c r="E12" s="260">
        <f>'Rate Calculators'!Q37</f>
        <v>2</v>
      </c>
      <c r="F12" s="260">
        <f>'Rate Calculators'!G37</f>
        <v>3.33</v>
      </c>
      <c r="G12" s="260">
        <f>'Rate Calculators'!K37</f>
        <v>5</v>
      </c>
      <c r="H12" s="260">
        <f>'Rate Calculators'!J37</f>
        <v>2</v>
      </c>
      <c r="I12" s="260">
        <f>'Rate Calculators'!H37</f>
        <v>12</v>
      </c>
      <c r="J12" s="260">
        <f>'Rate Calculators'!L37</f>
        <v>7</v>
      </c>
      <c r="K12" s="225"/>
      <c r="L12" s="222"/>
      <c r="M12" s="222">
        <v>1</v>
      </c>
      <c r="N12" s="222">
        <v>11</v>
      </c>
      <c r="O12" s="274"/>
      <c r="P12" s="224"/>
      <c r="Q12" s="224"/>
      <c r="R12" s="346"/>
      <c r="S12" s="117"/>
      <c r="T12" s="224"/>
      <c r="U12" s="224"/>
      <c r="V12" s="259">
        <v>1</v>
      </c>
      <c r="W12" s="7"/>
      <c r="X12" s="224"/>
      <c r="Y12" s="224"/>
      <c r="Z12" s="118"/>
      <c r="AA12" s="118"/>
      <c r="AB12" s="224"/>
      <c r="AC12" s="7"/>
      <c r="AD12" s="7"/>
      <c r="AE12" s="7"/>
      <c r="AF12" s="118"/>
      <c r="AG12" s="118"/>
      <c r="AH12" s="118"/>
      <c r="AI12" s="7"/>
      <c r="AJ12" s="118"/>
      <c r="AK12" s="118"/>
      <c r="AM12" s="22"/>
    </row>
    <row r="13" spans="1:39" ht="6" customHeight="1">
      <c r="A13" s="3"/>
      <c r="B13" s="42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M13" s="22"/>
    </row>
    <row r="14" spans="1:39" ht="13.5" customHeight="1">
      <c r="A14" s="388" t="s">
        <v>24</v>
      </c>
      <c r="B14" s="47" t="s">
        <v>25</v>
      </c>
      <c r="C14" s="227">
        <v>8</v>
      </c>
      <c r="D14" s="227">
        <v>6</v>
      </c>
      <c r="E14" s="227">
        <v>3</v>
      </c>
      <c r="F14" s="227">
        <v>6</v>
      </c>
      <c r="G14" s="227">
        <v>9</v>
      </c>
      <c r="H14" s="227">
        <v>1.5</v>
      </c>
      <c r="I14" s="227">
        <v>1.5</v>
      </c>
      <c r="J14" s="227">
        <v>2</v>
      </c>
      <c r="K14" s="228"/>
      <c r="L14" s="227">
        <v>5</v>
      </c>
      <c r="M14" s="227">
        <v>3</v>
      </c>
      <c r="N14" s="227">
        <f>10-1</f>
        <v>9</v>
      </c>
      <c r="O14" s="252">
        <f>22.5+0.5+2</f>
        <v>25</v>
      </c>
      <c r="P14" s="252">
        <f>5+1</f>
        <v>6</v>
      </c>
      <c r="Q14" s="229"/>
      <c r="R14" s="348"/>
      <c r="S14" s="227">
        <f>7</f>
        <v>7</v>
      </c>
      <c r="T14" s="229"/>
      <c r="U14" s="227">
        <v>7.15</v>
      </c>
      <c r="V14" s="227">
        <f>10+4</f>
        <v>14</v>
      </c>
      <c r="W14" s="231"/>
      <c r="X14" s="230"/>
      <c r="Y14" s="229"/>
      <c r="Z14" s="232">
        <f>13-2</f>
        <v>11</v>
      </c>
      <c r="AA14" s="232">
        <v>7</v>
      </c>
      <c r="AB14" s="230"/>
      <c r="AC14" s="231"/>
      <c r="AD14" s="231"/>
      <c r="AE14" s="231"/>
      <c r="AF14" s="232"/>
      <c r="AG14" s="232"/>
      <c r="AH14" s="232"/>
      <c r="AI14" s="231"/>
      <c r="AJ14" s="232">
        <v>3</v>
      </c>
      <c r="AK14" s="232">
        <f>9-1+1</f>
        <v>9</v>
      </c>
      <c r="AL14" s="226"/>
      <c r="AM14" s="221">
        <f>SUM(C14:AL14)</f>
        <v>143.15</v>
      </c>
    </row>
    <row r="15" spans="1:39" ht="14.25">
      <c r="A15" s="388"/>
      <c r="B15" s="48" t="s">
        <v>26</v>
      </c>
      <c r="C15" s="227">
        <v>1</v>
      </c>
      <c r="D15" s="252">
        <f>1*(D14/(SUM($D$14:$F$14,)))</f>
        <v>0.4</v>
      </c>
      <c r="E15" s="252">
        <f>1*(E14/(SUM($D$14:$F$14,)))</f>
        <v>0.2</v>
      </c>
      <c r="F15" s="252">
        <f>1*(F14/(SUM($D$14:$F$14,)))</f>
        <v>0.4</v>
      </c>
      <c r="G15" s="227">
        <v>1</v>
      </c>
      <c r="H15" s="252">
        <f>1*(H14/(SUM($M$14,$L$14,$I$14,$H$14,$J$14)))</f>
        <v>0.11538461538461539</v>
      </c>
      <c r="I15" s="252">
        <f>1*(I14/(SUM($M$14,$L$14,$I$14,$H$14,$J$14)))</f>
        <v>0.11538461538461539</v>
      </c>
      <c r="J15" s="252">
        <f>1*(J14/(SUM($M$14,$L$14,$I$14,$H$14,$J$14)))</f>
        <v>0.15384615384615385</v>
      </c>
      <c r="K15" s="228"/>
      <c r="L15" s="252">
        <f>1*(L14/(SUM($M$14,$L$14,$I$14,$H$14,$J$14)))</f>
        <v>0.38461538461538464</v>
      </c>
      <c r="M15" s="252">
        <f>1*(M14/(SUM($M$14,$L$14,$I$14,$H$14,$J$14)))</f>
        <v>0.23076923076923078</v>
      </c>
      <c r="N15" s="227">
        <v>1</v>
      </c>
      <c r="O15" s="227">
        <v>2</v>
      </c>
      <c r="P15" s="227">
        <f>1*P14/(SUM($P$14+$S$14+2))</f>
        <v>0.4</v>
      </c>
      <c r="Q15" s="234"/>
      <c r="R15" s="227">
        <f>1-SUM(S15,P15)+2</f>
        <v>2.1333333333333333</v>
      </c>
      <c r="S15" s="227">
        <f>1*S14/(SUM($P$14+$S$14+2))</f>
        <v>0.4666666666666667</v>
      </c>
      <c r="T15" s="233"/>
      <c r="U15" s="232">
        <f>1*((U14/SUM($U$14+$AA$14)))</f>
        <v>0.5053003533568905</v>
      </c>
      <c r="V15" s="227">
        <v>1</v>
      </c>
      <c r="W15" s="231"/>
      <c r="X15" s="234"/>
      <c r="Y15" s="233"/>
      <c r="Z15" s="232">
        <v>1</v>
      </c>
      <c r="AA15" s="232">
        <f>1*((AA14/SUM($U$14+$AA$14)))</f>
        <v>0.4946996466431095</v>
      </c>
      <c r="AB15" s="234"/>
      <c r="AC15" s="231"/>
      <c r="AD15" s="231"/>
      <c r="AE15" s="231"/>
      <c r="AF15" s="232"/>
      <c r="AG15" s="232"/>
      <c r="AH15" s="232"/>
      <c r="AI15" s="231"/>
      <c r="AJ15" s="232">
        <v>2</v>
      </c>
      <c r="AK15" s="232">
        <v>1</v>
      </c>
      <c r="AL15" s="226"/>
      <c r="AM15" s="220">
        <f>SUM(C15:AL15)</f>
        <v>16</v>
      </c>
    </row>
    <row r="16" spans="1:39" ht="14.25">
      <c r="A16" s="388"/>
      <c r="B16" s="49" t="s">
        <v>27</v>
      </c>
      <c r="C16" s="230"/>
      <c r="D16" s="230"/>
      <c r="E16" s="230"/>
      <c r="F16" s="230"/>
      <c r="G16" s="233"/>
      <c r="H16" s="230"/>
      <c r="I16" s="230"/>
      <c r="J16" s="230"/>
      <c r="K16" s="235"/>
      <c r="L16" s="230"/>
      <c r="M16" s="230"/>
      <c r="N16" s="230"/>
      <c r="O16" s="230"/>
      <c r="P16" s="230"/>
      <c r="Q16" s="230"/>
      <c r="R16" s="230"/>
      <c r="S16" s="230"/>
      <c r="T16" s="230"/>
      <c r="U16" s="230"/>
      <c r="V16" s="230"/>
      <c r="W16" s="231"/>
      <c r="X16" s="230"/>
      <c r="Y16" s="230"/>
      <c r="Z16" s="230"/>
      <c r="AA16" s="230"/>
      <c r="AB16" s="230"/>
      <c r="AC16" s="231"/>
      <c r="AD16" s="231"/>
      <c r="AE16" s="231"/>
      <c r="AF16" s="232">
        <v>1</v>
      </c>
      <c r="AG16" s="232">
        <v>1</v>
      </c>
      <c r="AH16" s="232">
        <v>1</v>
      </c>
      <c r="AI16" s="231"/>
      <c r="AJ16" s="232">
        <v>1</v>
      </c>
      <c r="AK16" s="232">
        <v>1</v>
      </c>
      <c r="AL16" s="226"/>
      <c r="AM16" s="220">
        <f>SUM(C16:AL16)</f>
        <v>5</v>
      </c>
    </row>
    <row r="17" spans="1:39" ht="6" customHeight="1">
      <c r="A17" s="57"/>
      <c r="B17" s="50"/>
      <c r="C17" s="3"/>
      <c r="D17" s="3"/>
      <c r="E17" s="3"/>
      <c r="F17" s="3"/>
      <c r="G17" s="3"/>
      <c r="H17" s="3"/>
      <c r="I17" s="3"/>
      <c r="J17" s="3"/>
      <c r="L17" s="3"/>
      <c r="M17" s="3"/>
      <c r="N17" s="3"/>
      <c r="O17" s="3"/>
      <c r="P17" s="3"/>
      <c r="Q17" s="3"/>
      <c r="R17" s="3"/>
      <c r="S17" s="10"/>
      <c r="T17" s="3"/>
      <c r="U17" s="3"/>
      <c r="V17" s="3"/>
      <c r="X17" s="3"/>
      <c r="Y17" s="3"/>
      <c r="Z17" s="3"/>
      <c r="AA17" s="3"/>
      <c r="AB17" s="3"/>
      <c r="AF17" s="3"/>
      <c r="AG17" s="3"/>
      <c r="AH17" s="3"/>
      <c r="AJ17" s="3"/>
      <c r="AK17" s="3"/>
      <c r="AM17" s="19"/>
    </row>
    <row r="18" spans="1:41" ht="18.75" customHeight="1">
      <c r="A18" s="381" t="s">
        <v>190</v>
      </c>
      <c r="B18" s="51" t="s">
        <v>44</v>
      </c>
      <c r="C18" s="25">
        <v>57570</v>
      </c>
      <c r="D18" s="25">
        <v>93725</v>
      </c>
      <c r="E18" s="25">
        <v>18563</v>
      </c>
      <c r="F18" s="25">
        <v>41265</v>
      </c>
      <c r="G18" s="25">
        <v>35984</v>
      </c>
      <c r="H18" s="25">
        <v>1422</v>
      </c>
      <c r="I18" s="25">
        <v>2390</v>
      </c>
      <c r="J18" s="25"/>
      <c r="K18" s="40"/>
      <c r="L18" s="25">
        <v>332721</v>
      </c>
      <c r="M18" s="25">
        <v>81320</v>
      </c>
      <c r="N18" s="25">
        <v>546900</v>
      </c>
      <c r="O18" s="25">
        <v>88300</v>
      </c>
      <c r="P18" s="25">
        <v>1278124</v>
      </c>
      <c r="Q18" s="25">
        <v>200000</v>
      </c>
      <c r="R18" s="25">
        <f>6268+147985+50000</f>
        <v>204253</v>
      </c>
      <c r="S18" s="25">
        <f>3871936</f>
        <v>3871936</v>
      </c>
      <c r="T18" s="25">
        <v>100000</v>
      </c>
      <c r="U18" s="25">
        <v>31476</v>
      </c>
      <c r="V18" s="25">
        <f>113780+737403</f>
        <v>851183</v>
      </c>
      <c r="W18" s="9"/>
      <c r="X18" s="25">
        <f>SUM('Dept Allocations'!T20:T22)</f>
        <v>1367940</v>
      </c>
      <c r="Y18" s="25">
        <f>'Dept Allocations'!T29</f>
        <v>858290</v>
      </c>
      <c r="Z18" s="24">
        <v>494536</v>
      </c>
      <c r="AA18" s="24">
        <v>717785</v>
      </c>
      <c r="AB18" s="25">
        <v>51500</v>
      </c>
      <c r="AC18" s="9"/>
      <c r="AD18" s="276"/>
      <c r="AE18" s="9"/>
      <c r="AF18" s="24">
        <v>167950</v>
      </c>
      <c r="AG18" s="24">
        <v>25881</v>
      </c>
      <c r="AH18" s="24">
        <v>25646</v>
      </c>
      <c r="AI18" s="9"/>
      <c r="AJ18" s="24">
        <v>188389</v>
      </c>
      <c r="AK18" s="24">
        <f>2435550+9240-1000000</f>
        <v>1444790</v>
      </c>
      <c r="AM18" s="121">
        <f>SUM(C18:J18,L18:N18,O18:V18,X18:AB18,AF18:AH18,AJ18:AK18)</f>
        <v>13179839</v>
      </c>
      <c r="AO18" s="26"/>
    </row>
    <row r="19" spans="1:39" ht="18.75" customHeight="1">
      <c r="A19" s="382"/>
      <c r="B19" s="42" t="s">
        <v>28</v>
      </c>
      <c r="C19" s="25">
        <f>1184669-156146</f>
        <v>1028523</v>
      </c>
      <c r="D19" s="25">
        <f>954669-176391</f>
        <v>778278</v>
      </c>
      <c r="E19" s="25">
        <v>381595</v>
      </c>
      <c r="F19" s="25">
        <v>724512</v>
      </c>
      <c r="G19" s="25">
        <f>1347926-167012</f>
        <v>1180914</v>
      </c>
      <c r="H19" s="25">
        <v>199825</v>
      </c>
      <c r="I19" s="25">
        <v>297931</v>
      </c>
      <c r="J19" s="25">
        <v>270257</v>
      </c>
      <c r="K19" s="40"/>
      <c r="L19" s="25">
        <f>845406-159950</f>
        <v>685456</v>
      </c>
      <c r="M19" s="25">
        <v>430393</v>
      </c>
      <c r="N19" s="25">
        <f>1561137-176391-127105</f>
        <v>1257641</v>
      </c>
      <c r="O19" s="25">
        <f>2838718-(176391+111899)+(134060+134060)</f>
        <v>2818548</v>
      </c>
      <c r="P19" s="25">
        <v>922929</v>
      </c>
      <c r="Q19" s="114"/>
      <c r="R19" s="25"/>
      <c r="S19" s="25">
        <f>809929</f>
        <v>809929</v>
      </c>
      <c r="T19" s="114"/>
      <c r="U19" s="25">
        <f>867984-176391</f>
        <v>691593</v>
      </c>
      <c r="V19" s="25">
        <f>1280061+685681-153047</f>
        <v>1812695</v>
      </c>
      <c r="W19" s="9"/>
      <c r="X19" s="114"/>
      <c r="Y19" s="114"/>
      <c r="Z19" s="24">
        <f>2102976-168933-134060-134060</f>
        <v>1665923</v>
      </c>
      <c r="AA19" s="24">
        <v>787519</v>
      </c>
      <c r="AB19" s="114"/>
      <c r="AC19" s="9"/>
      <c r="AD19" s="276"/>
      <c r="AE19" s="9"/>
      <c r="AF19" s="24"/>
      <c r="AG19" s="24"/>
      <c r="AH19" s="24"/>
      <c r="AI19" s="9"/>
      <c r="AJ19" s="24">
        <f>876266-174254</f>
        <v>702012</v>
      </c>
      <c r="AK19" s="24">
        <f>955661-119170</f>
        <v>836491</v>
      </c>
      <c r="AM19" s="121">
        <f>SUM(C19:J19,L19:N19,O19:V19,Z19:AB19,AF19:AH19,AJ19:AK19)</f>
        <v>18282964</v>
      </c>
    </row>
    <row r="20" spans="1:39" ht="18.75" customHeight="1">
      <c r="A20" s="383"/>
      <c r="B20" s="52" t="s">
        <v>34</v>
      </c>
      <c r="C20" s="216">
        <f>156146</f>
        <v>156146</v>
      </c>
      <c r="D20" s="216">
        <f>176391*D15</f>
        <v>70556.40000000001</v>
      </c>
      <c r="E20" s="216">
        <f>176391*E15</f>
        <v>35278.200000000004</v>
      </c>
      <c r="F20" s="216">
        <f>176391*F15</f>
        <v>70556.40000000001</v>
      </c>
      <c r="G20" s="216">
        <f>167012</f>
        <v>167012</v>
      </c>
      <c r="H20" s="25">
        <f>159950*H15</f>
        <v>18455.76923076923</v>
      </c>
      <c r="I20" s="25">
        <f>159950*I15</f>
        <v>18455.76923076923</v>
      </c>
      <c r="J20" s="25">
        <f>159950*J15</f>
        <v>24607.69230769231</v>
      </c>
      <c r="K20" s="40"/>
      <c r="L20" s="25">
        <f>159950*L15</f>
        <v>61519.23076923077</v>
      </c>
      <c r="M20" s="25">
        <f>159950*M15</f>
        <v>36911.53846153846</v>
      </c>
      <c r="N20" s="25">
        <f>176391</f>
        <v>176391</v>
      </c>
      <c r="O20" s="25">
        <f>176391+111899</f>
        <v>288290</v>
      </c>
      <c r="P20" s="25">
        <f>(174057*P15)</f>
        <v>69622.8</v>
      </c>
      <c r="Q20" s="114"/>
      <c r="R20" s="25">
        <f>301201+(174057*0.133333)</f>
        <v>324408.541981</v>
      </c>
      <c r="S20" s="25">
        <f>(174057*S15)</f>
        <v>81226.6</v>
      </c>
      <c r="T20" s="114"/>
      <c r="U20" s="25">
        <f>176391*U15</f>
        <v>89130.43462897527</v>
      </c>
      <c r="V20" s="25">
        <v>153047</v>
      </c>
      <c r="W20" s="9"/>
      <c r="X20" s="114"/>
      <c r="Y20" s="114"/>
      <c r="Z20" s="24">
        <f>168933</f>
        <v>168933</v>
      </c>
      <c r="AA20" s="25">
        <f>176391*AA15</f>
        <v>87260.56537102473</v>
      </c>
      <c r="AB20" s="114"/>
      <c r="AC20" s="9"/>
      <c r="AD20" s="276"/>
      <c r="AE20" s="9"/>
      <c r="AF20" s="24">
        <f>250000+81225+18750</f>
        <v>349975</v>
      </c>
      <c r="AG20" s="24"/>
      <c r="AH20" s="24"/>
      <c r="AI20" s="9"/>
      <c r="AJ20" s="24"/>
      <c r="AK20" s="24">
        <v>119170</v>
      </c>
      <c r="AM20" s="121">
        <f>SUM(C20:J20,L20:N20,O20:V20,Z20:AB20,AF20:AH20,AJ20:AK20)</f>
        <v>2566953.9419810004</v>
      </c>
    </row>
    <row r="21" spans="1:39" ht="6" customHeight="1">
      <c r="A21" s="58"/>
      <c r="B21" s="42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9"/>
      <c r="X21" s="27"/>
      <c r="Y21" s="27"/>
      <c r="Z21" s="26"/>
      <c r="AA21" s="26"/>
      <c r="AB21" s="27"/>
      <c r="AC21" s="9"/>
      <c r="AD21" s="9"/>
      <c r="AE21" s="9"/>
      <c r="AF21" s="26"/>
      <c r="AG21" s="26"/>
      <c r="AH21" s="26"/>
      <c r="AI21" s="9"/>
      <c r="AJ21" s="26"/>
      <c r="AK21" s="26"/>
      <c r="AM21" s="122"/>
    </row>
    <row r="22" spans="1:39" ht="14.25">
      <c r="A22" s="59"/>
      <c r="B22" s="53" t="s">
        <v>37</v>
      </c>
      <c r="C22" s="31"/>
      <c r="D22" s="31"/>
      <c r="E22" s="31"/>
      <c r="F22" s="31"/>
      <c r="G22" s="31"/>
      <c r="H22" s="31"/>
      <c r="I22" s="31"/>
      <c r="J22" s="31"/>
      <c r="K22" s="27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9"/>
      <c r="X22" s="31"/>
      <c r="Y22" s="31"/>
      <c r="Z22" s="32"/>
      <c r="AA22" s="32"/>
      <c r="AB22" s="31"/>
      <c r="AC22" s="9"/>
      <c r="AD22" s="9"/>
      <c r="AE22" s="9"/>
      <c r="AF22" s="24">
        <v>201134</v>
      </c>
      <c r="AG22" s="24">
        <v>191821</v>
      </c>
      <c r="AH22" s="24">
        <v>176391</v>
      </c>
      <c r="AI22" s="9"/>
      <c r="AJ22" s="24">
        <v>174254</v>
      </c>
      <c r="AK22" s="24">
        <v>235778</v>
      </c>
      <c r="AM22" s="121">
        <f>SUM(C22:J22,L22:N22,O22:V22,X22:AB22,AF22:AH22,AJ22:AK22)</f>
        <v>979378</v>
      </c>
    </row>
    <row r="23" spans="1:39" ht="6" customHeight="1">
      <c r="A23" s="58"/>
      <c r="B23" s="42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9"/>
      <c r="X23" s="27"/>
      <c r="Y23" s="27"/>
      <c r="Z23" s="26"/>
      <c r="AA23" s="26"/>
      <c r="AB23" s="27"/>
      <c r="AC23" s="9"/>
      <c r="AD23" s="9"/>
      <c r="AE23" s="9"/>
      <c r="AF23" s="26"/>
      <c r="AG23" s="26"/>
      <c r="AH23" s="26"/>
      <c r="AI23" s="9"/>
      <c r="AJ23" s="26"/>
      <c r="AK23" s="26"/>
      <c r="AM23" s="122"/>
    </row>
    <row r="24" spans="1:41" ht="18.75" customHeight="1">
      <c r="A24" s="59"/>
      <c r="B24" s="51" t="s">
        <v>189</v>
      </c>
      <c r="C24" s="114"/>
      <c r="D24" s="114"/>
      <c r="E24" s="114"/>
      <c r="F24" s="114"/>
      <c r="G24" s="114"/>
      <c r="H24" s="114"/>
      <c r="I24" s="114"/>
      <c r="J24" s="114"/>
      <c r="K24" s="40"/>
      <c r="L24" s="114"/>
      <c r="M24" s="114"/>
      <c r="N24" s="114"/>
      <c r="O24" s="114"/>
      <c r="P24" s="114"/>
      <c r="Q24" s="25">
        <v>138000</v>
      </c>
      <c r="R24" s="114"/>
      <c r="S24" s="114"/>
      <c r="T24" s="25">
        <v>569172</v>
      </c>
      <c r="U24" s="114"/>
      <c r="V24" s="114"/>
      <c r="W24" s="9"/>
      <c r="X24" s="25"/>
      <c r="Y24" s="25"/>
      <c r="Z24" s="115"/>
      <c r="AA24" s="115"/>
      <c r="AB24" s="25">
        <v>248500</v>
      </c>
      <c r="AC24" s="9"/>
      <c r="AD24" s="276"/>
      <c r="AE24" s="9"/>
      <c r="AF24" s="115"/>
      <c r="AG24" s="115"/>
      <c r="AH24" s="115"/>
      <c r="AI24" s="9"/>
      <c r="AJ24" s="115"/>
      <c r="AK24" s="115"/>
      <c r="AM24" s="121">
        <f>SUM(C24:J24,L24:N24,O24:V24,X24:AB24,AF24:AH24,AJ24:AK24)</f>
        <v>955672</v>
      </c>
      <c r="AO24" s="26"/>
    </row>
    <row r="25" spans="1:39" ht="14.25">
      <c r="A25" s="59"/>
      <c r="B25" s="53" t="s">
        <v>188</v>
      </c>
      <c r="C25" s="31"/>
      <c r="D25" s="31"/>
      <c r="E25" s="31"/>
      <c r="F25" s="31"/>
      <c r="G25" s="31"/>
      <c r="H25" s="31"/>
      <c r="I25" s="31"/>
      <c r="J25" s="31"/>
      <c r="K25" s="27"/>
      <c r="L25" s="31"/>
      <c r="M25" s="31"/>
      <c r="N25" s="31"/>
      <c r="O25" s="31"/>
      <c r="P25" s="31"/>
      <c r="Q25" s="360">
        <f>-SUM(Q24,Q18)</f>
        <v>-338000</v>
      </c>
      <c r="R25" s="31"/>
      <c r="S25" s="31"/>
      <c r="T25" s="360">
        <f>-SUM(T24,T18)</f>
        <v>-669172</v>
      </c>
      <c r="U25" s="31"/>
      <c r="V25" s="31"/>
      <c r="W25" s="9"/>
      <c r="X25" s="25">
        <v>-953172</v>
      </c>
      <c r="Y25" s="25"/>
      <c r="Z25" s="32"/>
      <c r="AA25" s="32"/>
      <c r="AB25" s="360">
        <f>-SUM(AB24,AB18)</f>
        <v>-300000</v>
      </c>
      <c r="AC25" s="9"/>
      <c r="AD25" s="9"/>
      <c r="AE25" s="9"/>
      <c r="AF25" s="115"/>
      <c r="AG25" s="115"/>
      <c r="AH25" s="115"/>
      <c r="AI25" s="9"/>
      <c r="AJ25" s="115"/>
      <c r="AK25" s="115"/>
      <c r="AM25" s="121">
        <f>SUM(C25:J25,L25:N25,O25:V25,X25:AB25,AF25:AH25,AJ25:AK25)</f>
        <v>-2260344</v>
      </c>
    </row>
    <row r="26" spans="1:37" ht="6" customHeight="1">
      <c r="A26" s="58"/>
      <c r="B26" s="42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9"/>
      <c r="X26" s="27"/>
      <c r="Y26" s="27"/>
      <c r="Z26" s="26"/>
      <c r="AA26" s="26"/>
      <c r="AB26" s="27"/>
      <c r="AC26" s="9"/>
      <c r="AD26" s="9"/>
      <c r="AE26" s="9"/>
      <c r="AF26" s="116"/>
      <c r="AG26" s="116"/>
      <c r="AH26" s="116"/>
      <c r="AI26" s="9"/>
      <c r="AJ26" s="116"/>
      <c r="AK26" s="116"/>
    </row>
    <row r="27" spans="1:39" ht="15">
      <c r="A27" s="58"/>
      <c r="B27" s="327" t="s">
        <v>151</v>
      </c>
      <c r="C27" s="35">
        <f aca="true" t="shared" si="0" ref="C27:J27">SUM(C18:C20)+C22+SUM(C24,C25)</f>
        <v>1242239</v>
      </c>
      <c r="D27" s="35">
        <f t="shared" si="0"/>
        <v>942559.4</v>
      </c>
      <c r="E27" s="35">
        <f t="shared" si="0"/>
        <v>435436.2</v>
      </c>
      <c r="F27" s="35">
        <f t="shared" si="0"/>
        <v>836333.4</v>
      </c>
      <c r="G27" s="35">
        <f t="shared" si="0"/>
        <v>1383910</v>
      </c>
      <c r="H27" s="35">
        <f t="shared" si="0"/>
        <v>219702.76923076922</v>
      </c>
      <c r="I27" s="35">
        <f t="shared" si="0"/>
        <v>318776.76923076925</v>
      </c>
      <c r="J27" s="35">
        <f t="shared" si="0"/>
        <v>294864.6923076923</v>
      </c>
      <c r="K27" s="35"/>
      <c r="L27" s="35">
        <f aca="true" t="shared" si="1" ref="L27:V27">SUM(L18:L20)+L22+SUM(L24,L25)</f>
        <v>1079696.2307692308</v>
      </c>
      <c r="M27" s="35">
        <f t="shared" si="1"/>
        <v>548624.5384615385</v>
      </c>
      <c r="N27" s="35">
        <f t="shared" si="1"/>
        <v>1980932</v>
      </c>
      <c r="O27" s="35">
        <f t="shared" si="1"/>
        <v>3195138</v>
      </c>
      <c r="P27" s="35">
        <f t="shared" si="1"/>
        <v>2270675.8</v>
      </c>
      <c r="Q27" s="35">
        <f t="shared" si="1"/>
        <v>0</v>
      </c>
      <c r="R27" s="35">
        <f t="shared" si="1"/>
        <v>528661.541981</v>
      </c>
      <c r="S27" s="35">
        <f t="shared" si="1"/>
        <v>4763091.6</v>
      </c>
      <c r="T27" s="35">
        <f t="shared" si="1"/>
        <v>0</v>
      </c>
      <c r="U27" s="35">
        <f t="shared" si="1"/>
        <v>812199.4346289752</v>
      </c>
      <c r="V27" s="35">
        <f t="shared" si="1"/>
        <v>2816925</v>
      </c>
      <c r="W27" s="21"/>
      <c r="X27" s="35">
        <f>SUM(X18:X20)+X22+SUM(X24,X25)</f>
        <v>414768</v>
      </c>
      <c r="Y27" s="35">
        <f>SUM(Y18:Y20)+Y22+SUM(Y24,Y25)</f>
        <v>858290</v>
      </c>
      <c r="Z27" s="35">
        <f>SUM(Z18:Z20)+Z22+SUM(Z24,Z25)</f>
        <v>2329392</v>
      </c>
      <c r="AA27" s="35">
        <f>SUM(AA18:AA20)+AA22+SUM(AA24,AA25)</f>
        <v>1592564.5653710247</v>
      </c>
      <c r="AB27" s="35">
        <f>SUM(AB18:AB20)+AB22+SUM(AB24,AB25)</f>
        <v>0</v>
      </c>
      <c r="AC27" s="21"/>
      <c r="AD27" s="21"/>
      <c r="AE27" s="21"/>
      <c r="AF27" s="35">
        <f>SUM(AF18:AF20)+AF22+SUM(AF24,AF25)</f>
        <v>719059</v>
      </c>
      <c r="AG27" s="35">
        <f>SUM(AG18:AG20)+AG22+SUM(AG24,AG25)</f>
        <v>217702</v>
      </c>
      <c r="AH27" s="35">
        <f>SUM(AH18:AH20)+AH22+SUM(AH24,AH25)</f>
        <v>202037</v>
      </c>
      <c r="AI27" s="21"/>
      <c r="AJ27" s="35">
        <f>SUM(AJ18:AJ20)+AJ22+SUM(AJ24,AJ25)</f>
        <v>1064655</v>
      </c>
      <c r="AK27" s="35">
        <f>SUM(AK18:AK20)+AK22+SUM(AK24,AK25)</f>
        <v>2636229</v>
      </c>
      <c r="AM27" s="293">
        <f>SUM(C27:AK27)</f>
        <v>33704462.941981</v>
      </c>
    </row>
    <row r="28" spans="1:37" ht="7.5" customHeight="1">
      <c r="A28" s="58"/>
      <c r="B28" s="42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9"/>
      <c r="X28" s="27"/>
      <c r="Y28" s="27"/>
      <c r="Z28" s="26"/>
      <c r="AA28" s="26"/>
      <c r="AB28" s="27"/>
      <c r="AC28" s="9"/>
      <c r="AD28" s="277"/>
      <c r="AE28" s="9"/>
      <c r="AF28" s="26"/>
      <c r="AG28" s="26"/>
      <c r="AH28" s="26"/>
      <c r="AI28" s="9"/>
      <c r="AJ28" s="26"/>
      <c r="AK28" s="26"/>
    </row>
    <row r="29" spans="1:40" ht="24.75" customHeight="1">
      <c r="A29" s="381" t="s">
        <v>36</v>
      </c>
      <c r="B29" s="55" t="s">
        <v>35</v>
      </c>
      <c r="C29" s="119">
        <f aca="true" t="shared" si="2" ref="C29:J29">ROUND(SUM($AF$32+$AG$32+$AH$32)*(SUM(C$14:C$15)/SUM($C$14:$J$15,$L$14:$V$15,$Z$14:$AA$15)),0)</f>
        <v>71101</v>
      </c>
      <c r="D29" s="119">
        <f t="shared" si="2"/>
        <v>50561</v>
      </c>
      <c r="E29" s="119">
        <f t="shared" si="2"/>
        <v>25280</v>
      </c>
      <c r="F29" s="119">
        <f t="shared" si="2"/>
        <v>50561</v>
      </c>
      <c r="G29" s="119">
        <f t="shared" si="2"/>
        <v>79001</v>
      </c>
      <c r="H29" s="119">
        <f t="shared" si="2"/>
        <v>12762</v>
      </c>
      <c r="I29" s="119">
        <f t="shared" si="2"/>
        <v>12762</v>
      </c>
      <c r="J29" s="119">
        <f t="shared" si="2"/>
        <v>17016</v>
      </c>
      <c r="K29" s="39"/>
      <c r="L29" s="119">
        <f>ROUND(SUM($AF$32+$AG$32+$AH$32)*(SUM(L$14:L$15)/SUM($C$14:$J$15,$L$14:$V$15,$Z$14:$AA$15)),0)</f>
        <v>42539</v>
      </c>
      <c r="M29" s="119">
        <f>ROUND(SUM($AF$32+$AG$32+$AH$32)*(SUM(M$14:M$15)/SUM($C$14:$J$15,$L$14:$V$15,$Z$14:$AA$15)),0)</f>
        <v>25523</v>
      </c>
      <c r="N29" s="119">
        <f>ROUND(SUM($AF$32+$AG$32+$AH$32)*(SUM(N$14:N$15)/SUM($C$14:$J$15,$L$14:$V$15,$Z$14:$AA$15)),0)</f>
        <v>79001</v>
      </c>
      <c r="O29" s="119">
        <f>ROUND(SUM($AF$32+$AG$32+$AH$32)*(SUM(O$14:O$15)/SUM($C$14:$J$15,$L$14:$V$15,$Z$14:$AA$15)),0)</f>
        <v>213302</v>
      </c>
      <c r="P29" s="119">
        <f>ROUND(SUM($AF$32+$AG$32+$AH$32)*(SUM(P$14:P$15)/SUM($C$14:$J$15,$L$14:$V$15,$Z$14:$AA$15)),0)</f>
        <v>50561</v>
      </c>
      <c r="Q29" s="115"/>
      <c r="R29" s="119">
        <f>ROUND(SUM($AF$32+$AG$32+$AH$32)*(SUM(R$14:R$15)/SUM($C$14:$J$15,$L$14:$V$15,$Z$14:$AA$15)),0)</f>
        <v>16854</v>
      </c>
      <c r="S29" s="119">
        <f>ROUND(SUM($AF$32+$AG$32+$AH$32)*(SUM(S$14:S$15)/SUM($C$14:$J$15,$L$14:$V$15,$Z$14:$AA$15)),0)</f>
        <v>58987</v>
      </c>
      <c r="T29" s="115"/>
      <c r="U29" s="119">
        <f>ROUND(SUM($AF$32+$AG$32+$AH$32)*(SUM(U$14:U$15)/SUM($C$14:$J$15,$L$14:$V$15,$Z$14:$AA$15)),0)</f>
        <v>60478</v>
      </c>
      <c r="V29" s="119">
        <f>ROUND(SUM($AF$32+$AG$32+$AH$32)*(SUM(V$14:V$15)/SUM($C$14:$J$15,$L$14:$V$15,$Z$14:$AA$15)),0)</f>
        <v>118501</v>
      </c>
      <c r="X29" s="115"/>
      <c r="Y29" s="115"/>
      <c r="Z29" s="119">
        <f>ROUND(SUM($AF$32+$AG$32+$AH$32)*(SUM(Z$14:Z$15)/SUM($C$14:$J$15,$L$14:$V$15,$Z$14:$AA$15)),0)</f>
        <v>94801</v>
      </c>
      <c r="AA29" s="119">
        <f>ROUND(SUM($AF$32+$AG$32+$AH$32)*(SUM(AA$14:AA$15)/SUM($C$14:$J$15,$L$14:$V$15,$Z$14:$AA$15)),0)</f>
        <v>59209</v>
      </c>
      <c r="AB29" s="115"/>
      <c r="AC29" s="9"/>
      <c r="AD29" s="257">
        <f>ROUND(SUM(C29:L29,,M29:V29,Z29:AA29),0)</f>
        <v>1138800</v>
      </c>
      <c r="AE29" s="9"/>
      <c r="AF29" s="64"/>
      <c r="AG29" s="64"/>
      <c r="AH29" s="64"/>
      <c r="AI29" s="9"/>
      <c r="AJ29" s="64"/>
      <c r="AK29" s="64"/>
      <c r="AN29" s="26"/>
    </row>
    <row r="30" spans="1:37" ht="28.5">
      <c r="A30" s="382"/>
      <c r="B30" s="250" t="s">
        <v>126</v>
      </c>
      <c r="C30" s="254">
        <f aca="true" t="shared" si="3" ref="C30:J30">ROUND(SUM($AJ$32+$AK$32)*(SUM(C$14:C$15)/SUM($C$14:$J$15,,$L$14:$V$15,$Z$14:$AA$15)),0)</f>
        <v>231065</v>
      </c>
      <c r="D30" s="254">
        <f t="shared" si="3"/>
        <v>164313</v>
      </c>
      <c r="E30" s="254">
        <f t="shared" si="3"/>
        <v>82156</v>
      </c>
      <c r="F30" s="254">
        <f t="shared" si="3"/>
        <v>164313</v>
      </c>
      <c r="G30" s="254">
        <f t="shared" si="3"/>
        <v>256738</v>
      </c>
      <c r="H30" s="254">
        <f t="shared" si="3"/>
        <v>41473</v>
      </c>
      <c r="I30" s="254">
        <f t="shared" si="3"/>
        <v>41473</v>
      </c>
      <c r="J30" s="254">
        <f t="shared" si="3"/>
        <v>55298</v>
      </c>
      <c r="K30" s="39"/>
      <c r="L30" s="254">
        <f>ROUND(SUM($AJ$32+$AK$32)*(SUM(L$14:L$15)/SUM($C$14:$J$15,,$L$14:$V$15,$Z$14:$AA$15)),0)</f>
        <v>138244</v>
      </c>
      <c r="M30" s="254">
        <f>ROUND(SUM($AJ$32+$AK$32)*(SUM(M$14:M$15)/SUM($C$14:$J$15,,$L$14:$V$15,$Z$14:$AA$15)),0)</f>
        <v>82946</v>
      </c>
      <c r="N30" s="254">
        <f>ROUND(SUM($AJ$32+$AK$32)*(SUM(N$14:N$15)/SUM($C$14:$J$15,,$L$14:$V$15,$Z$14:$AA$15)),0)</f>
        <v>256738</v>
      </c>
      <c r="O30" s="254">
        <f>ROUND(SUM($AJ$32+$AK$32)*(SUM(O$14:O$15)/SUM($C$14:$J$15,,$L$14:$V$15,$Z$14:$AA$15)),0)</f>
        <v>693194</v>
      </c>
      <c r="P30" s="254">
        <f>ROUND(SUM($AJ$32+$AK$32)*(SUM(P$14:P$15)/SUM($C$14:$J$15,,$L$14:$V$15,$Z$14:$AA$15)),0)</f>
        <v>164313</v>
      </c>
      <c r="Q30" s="115"/>
      <c r="R30" s="254">
        <f>ROUND(SUM($AJ$32+$AK$32)*(SUM(R$14:R$15)/SUM($C$14:$J$15,,$L$14:$V$15,$Z$14:$AA$15)),0)</f>
        <v>54771</v>
      </c>
      <c r="S30" s="254">
        <f>ROUND(SUM($AJ$32+$AK$32)*(SUM(S$14:S$15)/SUM($C$14:$J$15,,$L$14:$V$15,$Z$14:$AA$15)),0)</f>
        <v>191698</v>
      </c>
      <c r="T30" s="115"/>
      <c r="U30" s="254">
        <f>ROUND(SUM($AJ$32+$AK$32)*(SUM(U$14:U$15)/SUM($C$14:$J$15,,$L$14:$V$15,$Z$14:$AA$15)),0)</f>
        <v>196541</v>
      </c>
      <c r="V30" s="254">
        <f>ROUND(SUM($AJ$32+$AK$32)*(SUM(V$14:V$15)/SUM($C$14:$J$15,,$L$14:$V$15,$Z$14:$AA$15)),0)</f>
        <v>385108</v>
      </c>
      <c r="X30" s="115"/>
      <c r="Y30" s="115"/>
      <c r="Z30" s="254">
        <f>ROUND(SUM($AJ$32+$AK$32)*(SUM(Z$14:Z$15)/SUM($C$14:$J$15,,$L$14:$V$15,$Z$14:$AA$15)),0)</f>
        <v>308086</v>
      </c>
      <c r="AA30" s="254">
        <f>ROUND(SUM($AJ$32+$AK$32)*(SUM(AA$14:AA$15)/SUM($C$14:$J$15,,$L$14:$V$15,$Z$14:$AA$15)),0)</f>
        <v>192418</v>
      </c>
      <c r="AB30" s="115"/>
      <c r="AC30" s="9"/>
      <c r="AD30" s="329">
        <f>ROUND(SUM(C30:L30,,M30:V30,Z30:AA30),0)</f>
        <v>3700886</v>
      </c>
      <c r="AE30" s="9"/>
      <c r="AF30" s="65"/>
      <c r="AG30" s="65"/>
      <c r="AH30" s="65"/>
      <c r="AI30" s="9"/>
      <c r="AJ30" s="65"/>
      <c r="AK30" s="65"/>
    </row>
    <row r="31" spans="1:37" ht="24.75" customHeight="1">
      <c r="A31" s="383"/>
      <c r="B31" s="56" t="s">
        <v>136</v>
      </c>
      <c r="C31" s="115"/>
      <c r="D31" s="115"/>
      <c r="E31" s="115"/>
      <c r="F31" s="115"/>
      <c r="G31" s="115"/>
      <c r="H31" s="115"/>
      <c r="I31" s="115"/>
      <c r="J31" s="115"/>
      <c r="K31" s="39"/>
      <c r="L31" s="115">
        <f>(L11*'Rate Calculators'!$B$48)+(L12*'Rate Calculators'!$B$47)</f>
        <v>0</v>
      </c>
      <c r="M31" s="120">
        <f>(M11*'Rate Calculators'!$B$48)+(M12*'Rate Calculators'!$B$47)</f>
        <v>54281.292455675546</v>
      </c>
      <c r="N31" s="120">
        <f>(N11*'Rate Calculators'!$B$48)+(N12*'Rate Calculators'!$B$47)</f>
        <v>206268.9113315671</v>
      </c>
      <c r="O31" s="115">
        <f>(O11*'Rate Calculators'!$B$48)+(O12*'Rate Calculators'!$B$47)</f>
        <v>0</v>
      </c>
      <c r="P31" s="115">
        <f>(P11*'Rate Calculators'!$B$48)+(P12*'Rate Calculators'!$B$47)</f>
        <v>0</v>
      </c>
      <c r="Q31" s="115"/>
      <c r="R31" s="115"/>
      <c r="S31" s="275">
        <f>ROUNDUP(S11*$Z$35,0)</f>
        <v>0</v>
      </c>
      <c r="T31" s="115"/>
      <c r="U31" s="115">
        <f>(U11*'Rate Calculators'!$B$48)+(U12*'Rate Calculators'!$B$47)</f>
        <v>0</v>
      </c>
      <c r="V31" s="120">
        <f>(V11*'Rate Calculators'!$B$48)+(V12*'Rate Calculators'!$B$47)</f>
        <v>65137.55094681066</v>
      </c>
      <c r="X31" s="115"/>
      <c r="Y31" s="115"/>
      <c r="Z31" s="64"/>
      <c r="AA31" s="64"/>
      <c r="AB31" s="115"/>
      <c r="AC31" s="9"/>
      <c r="AD31" s="328">
        <f>ROUND(SUM(C31:L31,,M31:V31,Z31:AA31),0)</f>
        <v>325688</v>
      </c>
      <c r="AE31" s="9"/>
      <c r="AF31" s="66"/>
      <c r="AG31" s="66"/>
      <c r="AH31" s="66"/>
      <c r="AJ31" s="66"/>
      <c r="AK31" s="66"/>
    </row>
    <row r="32" spans="1:37" ht="24" customHeight="1" thickBot="1">
      <c r="A32" s="58"/>
      <c r="B32" s="44" t="s">
        <v>49</v>
      </c>
      <c r="C32" s="63">
        <f aca="true" t="shared" si="4" ref="C32:I32">SUM(C26:C28,C29:C31)</f>
        <v>1544405</v>
      </c>
      <c r="D32" s="63">
        <f t="shared" si="4"/>
        <v>1157433.4</v>
      </c>
      <c r="E32" s="63">
        <f t="shared" si="4"/>
        <v>542872.2</v>
      </c>
      <c r="F32" s="63">
        <f t="shared" si="4"/>
        <v>1051207.4</v>
      </c>
      <c r="G32" s="63">
        <f t="shared" si="4"/>
        <v>1719649</v>
      </c>
      <c r="H32" s="63">
        <f t="shared" si="4"/>
        <v>273937.76923076925</v>
      </c>
      <c r="I32" s="63">
        <f t="shared" si="4"/>
        <v>373011.76923076925</v>
      </c>
      <c r="J32" s="63">
        <f>SUM(J26:J28,J29:J31)</f>
        <v>367178.6923076923</v>
      </c>
      <c r="K32" s="41"/>
      <c r="L32" s="23">
        <f aca="true" t="shared" si="5" ref="L32:V32">SUM(L26:L28,L29:L31)</f>
        <v>1260479.2307692308</v>
      </c>
      <c r="M32" s="23">
        <f t="shared" si="5"/>
        <v>711374.830917214</v>
      </c>
      <c r="N32" s="23">
        <f t="shared" si="5"/>
        <v>2522939.911331567</v>
      </c>
      <c r="O32" s="23">
        <f t="shared" si="5"/>
        <v>4101634</v>
      </c>
      <c r="P32" s="63">
        <f t="shared" si="5"/>
        <v>2485549.8</v>
      </c>
      <c r="Q32" s="63">
        <f t="shared" si="5"/>
        <v>0</v>
      </c>
      <c r="R32" s="23">
        <f t="shared" si="5"/>
        <v>600286.541981</v>
      </c>
      <c r="S32" s="63">
        <f t="shared" si="5"/>
        <v>5013776.6</v>
      </c>
      <c r="T32" s="63">
        <f t="shared" si="5"/>
        <v>0</v>
      </c>
      <c r="U32" s="23">
        <f t="shared" si="5"/>
        <v>1069218.434628975</v>
      </c>
      <c r="V32" s="63">
        <f t="shared" si="5"/>
        <v>3385671.5509468107</v>
      </c>
      <c r="W32" s="9"/>
      <c r="X32" s="23">
        <f>SUM(X26:X28,X29:X31)</f>
        <v>414768</v>
      </c>
      <c r="Y32" s="23">
        <f>SUM(Y26:Y28,Y29:Y31)</f>
        <v>858290</v>
      </c>
      <c r="Z32" s="63">
        <f>SUM(Z26:Z28,Z29:Z31)</f>
        <v>2732279</v>
      </c>
      <c r="AA32" s="63">
        <f>SUM(AA26:AA28,AA29:AA31)</f>
        <v>1844191.5653710247</v>
      </c>
      <c r="AB32" s="63">
        <f>SUM(AB26:AB28,AB29:AB31)</f>
        <v>0</v>
      </c>
      <c r="AC32" s="9"/>
      <c r="AD32" s="298">
        <f>SUM(C32:J32,L32:V32,X32:AB32)-AD31</f>
        <v>33704466.69671505</v>
      </c>
      <c r="AE32" s="9"/>
      <c r="AF32" s="23">
        <f>ROUNDUP(SUM(AF18:AF20,AF22),0)</f>
        <v>719059</v>
      </c>
      <c r="AG32" s="23">
        <f>ROUNDUP(SUM(AG18:AG20,AG22),0)</f>
        <v>217702</v>
      </c>
      <c r="AH32" s="23">
        <f>ROUNDUP(SUM(AH18:AH20,AH22),0)</f>
        <v>202037</v>
      </c>
      <c r="AJ32" s="23">
        <f>ROUND(SUM(AJ18:AJ20,AJ22),0)</f>
        <v>1064655</v>
      </c>
      <c r="AK32" s="23">
        <f>ROUND(SUM(AK18:AK20,AK22),0)</f>
        <v>2636229</v>
      </c>
    </row>
    <row r="33" spans="1:39" ht="17.25" customHeight="1" thickBot="1" thickTop="1">
      <c r="A33" s="60"/>
      <c r="B33" s="54"/>
      <c r="C33" s="394">
        <f>ROUND(SUM(C32,D32,F32,G32,,H32,I32,E32,J32),0)</f>
        <v>7029695</v>
      </c>
      <c r="D33" s="395"/>
      <c r="E33" s="395"/>
      <c r="F33" s="395"/>
      <c r="G33" s="395"/>
      <c r="H33" s="395"/>
      <c r="I33" s="395"/>
      <c r="J33" s="395"/>
      <c r="K33" s="20"/>
      <c r="L33" s="103"/>
      <c r="M33" s="3"/>
      <c r="N33" s="102"/>
      <c r="O33" s="103"/>
      <c r="P33" s="392">
        <f>SUM(P32,Q32)</f>
        <v>2485549.8</v>
      </c>
      <c r="Q33" s="393"/>
      <c r="R33" s="36"/>
      <c r="S33" s="396">
        <f>SUM(S32,T32)</f>
        <v>5013776.6</v>
      </c>
      <c r="T33" s="397"/>
      <c r="U33" s="3"/>
      <c r="V33" s="251"/>
      <c r="W33" s="9"/>
      <c r="X33" s="102"/>
      <c r="Y33" s="102"/>
      <c r="Z33" s="378">
        <f>SUM(Z32,AA32,AB32)</f>
        <v>4576470.565371024</v>
      </c>
      <c r="AA33" s="379"/>
      <c r="AB33" s="380"/>
      <c r="AC33" s="9"/>
      <c r="AD33" s="26">
        <f>AD32-AM27</f>
        <v>3.754734046757221</v>
      </c>
      <c r="AE33" s="9"/>
      <c r="AF33" s="389">
        <f>ROUNDUP(SUM(AF32:AH32),0)</f>
        <v>1138798</v>
      </c>
      <c r="AG33" s="390"/>
      <c r="AH33" s="391"/>
      <c r="AI33" s="9"/>
      <c r="AJ33" s="386">
        <f>SUM(AJ32:AK32)</f>
        <v>3700884</v>
      </c>
      <c r="AK33" s="387"/>
      <c r="AM33" s="19"/>
    </row>
    <row r="34" spans="12:38" s="11" customFormat="1" ht="17.25" customHeight="1" thickTop="1">
      <c r="L34" s="34"/>
      <c r="M34" s="34"/>
      <c r="N34" s="34"/>
      <c r="O34" s="34"/>
      <c r="P34" s="34"/>
      <c r="Q34" s="75"/>
      <c r="R34" s="75"/>
      <c r="S34" s="74"/>
      <c r="T34" s="75"/>
      <c r="U34" s="34"/>
      <c r="V34" s="20"/>
      <c r="W34" s="67"/>
      <c r="X34" s="75"/>
      <c r="Y34" s="75"/>
      <c r="Z34" s="21">
        <f>SUM(Z32:AB32)-SUM(AD31+'Dept Allocations'!T41)</f>
        <v>3300301.5653710244</v>
      </c>
      <c r="AA34" s="74" t="s">
        <v>167</v>
      </c>
      <c r="AC34" s="21"/>
      <c r="AE34" s="21"/>
      <c r="AF34" s="35"/>
      <c r="AI34" s="21"/>
      <c r="AL34" s="21"/>
    </row>
    <row r="35" spans="13:39" s="11" customFormat="1" ht="12.75">
      <c r="M35" s="255"/>
      <c r="W35" s="9"/>
      <c r="Z35" s="103"/>
      <c r="AA35" s="103"/>
      <c r="AC35" s="21"/>
      <c r="AD35" s="21"/>
      <c r="AE35" s="21"/>
      <c r="AI35" s="21"/>
      <c r="AK35" s="208"/>
      <c r="AL35" s="21"/>
      <c r="AM35" s="294"/>
    </row>
    <row r="36" spans="13:39" ht="12.75">
      <c r="M36" s="253"/>
      <c r="W36" s="9"/>
      <c r="Z36" s="103"/>
      <c r="AA36" s="102"/>
      <c r="AJ36" s="253"/>
      <c r="AM36" s="193"/>
    </row>
    <row r="37" spans="5:36" ht="12.75">
      <c r="E37" s="142"/>
      <c r="M37" s="253"/>
      <c r="AJ37" s="253"/>
    </row>
    <row r="44" ht="12.75">
      <c r="AP44">
        <v>0</v>
      </c>
    </row>
  </sheetData>
  <mergeCells count="11">
    <mergeCell ref="AJ33:AK33"/>
    <mergeCell ref="A14:A16"/>
    <mergeCell ref="AF33:AH33"/>
    <mergeCell ref="A29:A31"/>
    <mergeCell ref="P33:Q33"/>
    <mergeCell ref="C33:J33"/>
    <mergeCell ref="S33:T33"/>
    <mergeCell ref="Z33:AB33"/>
    <mergeCell ref="A18:A20"/>
    <mergeCell ref="A1:B1"/>
    <mergeCell ref="AF5:AH5"/>
  </mergeCells>
  <conditionalFormatting sqref="AC8:AM8 W8 C8:K8">
    <cfRule type="cellIs" priority="1" dxfId="0" operator="equal" stopIfTrue="1">
      <formula>"Shared"</formula>
    </cfRule>
  </conditionalFormatting>
  <dataValidations count="6">
    <dataValidation allowBlank="1" showInputMessage="1" showErrorMessage="1" prompt=" Cost per server (Data Center Svc Cost/Server Count)" sqref="Z33"/>
    <dataValidation type="list" allowBlank="1" showInputMessage="1" showErrorMessage="1" sqref="AJ4:AK4 AL3:AL4 AF4:AH4 AC3:AE4 X4:AB4 W3:W4 L4:V4 K3:K4 C4:J4">
      <formula1>"Admin,Apps, CA, Infra,"</formula1>
    </dataValidation>
    <dataValidation type="list" allowBlank="1" showInputMessage="1" showErrorMessage="1" sqref="X8:AB8 C8:V8">
      <formula1>"Admin, Direct, Shared"</formula1>
    </dataValidation>
    <dataValidation allowBlank="1" showInputMessage="1" showErrorMessage="1" prompt="From the Budeget template" sqref="B24 B18"/>
    <dataValidation allowBlank="1" showInputMessage="1" showErrorMessage="1" sqref="B19:B23 B25:B29"/>
    <dataValidation type="list" allowBlank="1" showInputMessage="1" showErrorMessage="1" sqref="AJ3:AK3 AF3:AH3 X3:AB3 L3:V3 C3:J3">
      <formula1>"Apps, CIO, Infra, PPPM, SAP,"</formula1>
    </dataValidation>
  </dataValidations>
  <printOptions/>
  <pageMargins left="0.5" right="0.5" top="1" bottom="1" header="0.5" footer="0.5"/>
  <pageSetup fitToWidth="3" horizontalDpi="600" verticalDpi="600" orientation="landscape" scale="60" r:id="rId2"/>
  <headerFooter alignWithMargins="0">
    <oddHeader>&amp;L&amp;A&amp;RPrinted on &amp;D at &amp;T</oddHeader>
    <oddFooter>&amp;L&amp;Z
&amp;F&amp;RPage &amp;P of &amp;N</oddFooter>
  </headerFooter>
  <colBreaks count="2" manualBreakCount="2">
    <brk id="13" max="42" man="1"/>
    <brk id="23" max="41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showGridLines="0" workbookViewId="0" topLeftCell="A1">
      <selection activeCell="H11" sqref="H11:J11"/>
    </sheetView>
  </sheetViews>
  <sheetFormatPr defaultColWidth="9.140625" defaultRowHeight="12.75"/>
  <cols>
    <col min="1" max="1" width="16.8515625" style="0" bestFit="1" customWidth="1"/>
    <col min="2" max="2" width="21.00390625" style="0" customWidth="1"/>
    <col min="3" max="3" width="6.57421875" style="0" customWidth="1"/>
    <col min="4" max="4" width="6.00390625" style="0" customWidth="1"/>
    <col min="5" max="5" width="5.00390625" style="0" customWidth="1"/>
    <col min="6" max="6" width="12.00390625" style="0" customWidth="1"/>
    <col min="7" max="7" width="20.140625" style="76" customWidth="1"/>
    <col min="8" max="8" width="12.8515625" style="0" customWidth="1"/>
    <col min="9" max="10" width="29.140625" style="0" customWidth="1"/>
  </cols>
  <sheetData>
    <row r="1" spans="1:10" ht="33" customHeight="1">
      <c r="A1" s="398" t="s">
        <v>98</v>
      </c>
      <c r="B1" s="398"/>
      <c r="C1" s="398"/>
      <c r="D1" s="398"/>
      <c r="E1" s="398"/>
      <c r="F1" s="398"/>
      <c r="G1" s="398"/>
      <c r="H1" s="398"/>
      <c r="I1" s="398"/>
      <c r="J1" s="398"/>
    </row>
    <row r="3" spans="1:10" s="165" customFormat="1" ht="15.75">
      <c r="A3" s="399" t="s">
        <v>85</v>
      </c>
      <c r="B3" s="400"/>
      <c r="C3" s="401" t="s">
        <v>88</v>
      </c>
      <c r="D3" s="402"/>
      <c r="E3" s="402"/>
      <c r="F3" s="402"/>
      <c r="G3" s="166" t="s">
        <v>89</v>
      </c>
      <c r="H3" s="401" t="s">
        <v>90</v>
      </c>
      <c r="I3" s="402"/>
      <c r="J3" s="403"/>
    </row>
    <row r="4" spans="1:10" ht="36.75" customHeight="1">
      <c r="A4" s="409" t="s">
        <v>91</v>
      </c>
      <c r="B4" s="409"/>
      <c r="C4" s="426" t="s">
        <v>183</v>
      </c>
      <c r="D4" s="428" t="s">
        <v>74</v>
      </c>
      <c r="E4" s="430" t="s">
        <v>84</v>
      </c>
      <c r="F4" s="176"/>
      <c r="G4" s="167" t="s">
        <v>170</v>
      </c>
      <c r="H4" s="432" t="s">
        <v>171</v>
      </c>
      <c r="I4" s="432"/>
      <c r="J4" s="432"/>
    </row>
    <row r="5" spans="1:10" ht="39" customHeight="1">
      <c r="A5" s="423" t="s">
        <v>2</v>
      </c>
      <c r="B5" s="423"/>
      <c r="C5" s="427"/>
      <c r="D5" s="429"/>
      <c r="E5" s="431"/>
      <c r="F5" s="176"/>
      <c r="G5" s="168" t="s">
        <v>92</v>
      </c>
      <c r="H5" s="424" t="s">
        <v>177</v>
      </c>
      <c r="I5" s="424"/>
      <c r="J5" s="424"/>
    </row>
    <row r="6" spans="1:10" ht="42" customHeight="1">
      <c r="A6" s="405" t="s">
        <v>67</v>
      </c>
      <c r="B6" s="405"/>
      <c r="C6" s="427"/>
      <c r="D6" s="429"/>
      <c r="E6" s="431"/>
      <c r="F6" s="176"/>
      <c r="G6" s="169" t="s">
        <v>95</v>
      </c>
      <c r="H6" s="406" t="s">
        <v>176</v>
      </c>
      <c r="I6" s="406"/>
      <c r="J6" s="406"/>
    </row>
    <row r="7" spans="1:10" ht="37.5" customHeight="1">
      <c r="A7" s="407" t="s">
        <v>165</v>
      </c>
      <c r="B7" s="407"/>
      <c r="C7" s="427"/>
      <c r="D7" s="429"/>
      <c r="E7" s="431"/>
      <c r="F7" s="176"/>
      <c r="G7" s="353" t="s">
        <v>92</v>
      </c>
      <c r="H7" s="408" t="s">
        <v>175</v>
      </c>
      <c r="I7" s="408"/>
      <c r="J7" s="408"/>
    </row>
    <row r="8" spans="1:10" ht="51" customHeight="1">
      <c r="A8" s="436" t="s">
        <v>185</v>
      </c>
      <c r="B8" s="436"/>
      <c r="C8" s="427"/>
      <c r="D8" s="429"/>
      <c r="E8" s="431"/>
      <c r="F8" s="176"/>
      <c r="G8" s="172" t="s">
        <v>92</v>
      </c>
      <c r="H8" s="173" t="s">
        <v>86</v>
      </c>
      <c r="I8" s="422" t="s">
        <v>174</v>
      </c>
      <c r="J8" s="422"/>
    </row>
    <row r="9" spans="1:10" ht="39" customHeight="1">
      <c r="A9" s="421" t="s">
        <v>73</v>
      </c>
      <c r="B9" s="421"/>
      <c r="C9" s="427"/>
      <c r="D9" s="429"/>
      <c r="E9" s="431"/>
      <c r="F9" s="176"/>
      <c r="G9" s="174" t="s">
        <v>92</v>
      </c>
      <c r="H9" s="425" t="s">
        <v>173</v>
      </c>
      <c r="I9" s="425"/>
      <c r="J9" s="425"/>
    </row>
    <row r="10" spans="1:10" ht="39.75" customHeight="1">
      <c r="A10" s="417" t="s">
        <v>108</v>
      </c>
      <c r="B10" s="417"/>
      <c r="C10" s="427"/>
      <c r="D10" s="429"/>
      <c r="E10" s="431"/>
      <c r="F10" s="411" t="s">
        <v>182</v>
      </c>
      <c r="G10" s="175" t="s">
        <v>169</v>
      </c>
      <c r="H10" s="419" t="s">
        <v>172</v>
      </c>
      <c r="I10" s="419"/>
      <c r="J10" s="419"/>
    </row>
    <row r="11" spans="1:10" ht="49.5" customHeight="1">
      <c r="A11" s="420" t="s">
        <v>186</v>
      </c>
      <c r="B11" s="420"/>
      <c r="C11" s="427"/>
      <c r="D11" s="429"/>
      <c r="E11" s="431"/>
      <c r="F11" s="411"/>
      <c r="G11" s="170" t="s">
        <v>170</v>
      </c>
      <c r="H11" s="433" t="s">
        <v>187</v>
      </c>
      <c r="I11" s="434"/>
      <c r="J11" s="435"/>
    </row>
    <row r="12" spans="1:10" ht="49.5" customHeight="1">
      <c r="A12" s="418" t="s">
        <v>87</v>
      </c>
      <c r="B12" s="418"/>
      <c r="C12" s="427"/>
      <c r="D12" s="429"/>
      <c r="E12" s="431"/>
      <c r="F12" s="411"/>
      <c r="G12" s="171" t="s">
        <v>92</v>
      </c>
      <c r="H12" s="87" t="s">
        <v>86</v>
      </c>
      <c r="I12" s="404" t="s">
        <v>178</v>
      </c>
      <c r="J12" s="404"/>
    </row>
    <row r="13" spans="1:10" ht="34.5" customHeight="1">
      <c r="A13" s="418"/>
      <c r="B13" s="418"/>
      <c r="C13" s="427"/>
      <c r="D13" s="429"/>
      <c r="E13" s="431"/>
      <c r="F13" s="411"/>
      <c r="G13" s="171" t="s">
        <v>170</v>
      </c>
      <c r="H13" s="87" t="s">
        <v>81</v>
      </c>
      <c r="I13" s="404" t="s">
        <v>179</v>
      </c>
      <c r="J13" s="404"/>
    </row>
    <row r="14" spans="1:10" ht="48.75" customHeight="1">
      <c r="A14" s="412" t="s">
        <v>168</v>
      </c>
      <c r="B14" s="412"/>
      <c r="C14" s="427"/>
      <c r="D14" s="429"/>
      <c r="E14" s="431"/>
      <c r="F14" s="176"/>
      <c r="G14" s="177" t="s">
        <v>93</v>
      </c>
      <c r="H14" s="416" t="s">
        <v>180</v>
      </c>
      <c r="I14" s="416"/>
      <c r="J14" s="416"/>
    </row>
    <row r="15" spans="1:10" ht="33" customHeight="1">
      <c r="A15" s="412" t="s">
        <v>104</v>
      </c>
      <c r="B15" s="412"/>
      <c r="C15" s="427"/>
      <c r="D15" s="429"/>
      <c r="E15" s="431"/>
      <c r="F15" s="176"/>
      <c r="G15" s="177" t="s">
        <v>92</v>
      </c>
      <c r="H15" s="416" t="s">
        <v>181</v>
      </c>
      <c r="I15" s="416"/>
      <c r="J15" s="416"/>
    </row>
    <row r="16" spans="1:10" s="1" customFormat="1" ht="6" customHeight="1">
      <c r="A16" s="156"/>
      <c r="B16" s="156"/>
      <c r="C16" s="15"/>
      <c r="D16" s="155"/>
      <c r="E16" s="155"/>
      <c r="G16" s="8"/>
      <c r="H16" s="158"/>
      <c r="I16" s="158"/>
      <c r="J16" s="158"/>
    </row>
    <row r="17" spans="2:10" s="3" customFormat="1" ht="6" customHeight="1">
      <c r="B17" s="178"/>
      <c r="C17" s="178"/>
      <c r="D17" s="178"/>
      <c r="E17" s="178"/>
      <c r="F17" s="178"/>
      <c r="G17" s="7"/>
      <c r="H17" s="157"/>
      <c r="I17" s="157"/>
      <c r="J17" s="157"/>
    </row>
    <row r="18" spans="1:11" ht="12.75">
      <c r="A18" s="415" t="s">
        <v>75</v>
      </c>
      <c r="B18" s="415"/>
      <c r="C18" s="413" t="s">
        <v>99</v>
      </c>
      <c r="D18" s="414"/>
      <c r="E18" s="414"/>
      <c r="F18" s="414"/>
      <c r="G18" s="414"/>
      <c r="H18" s="414"/>
      <c r="I18" s="414"/>
      <c r="J18" s="414"/>
      <c r="K18" s="68"/>
    </row>
    <row r="19" spans="2:7" s="3" customFormat="1" ht="6" customHeight="1">
      <c r="B19" s="102"/>
      <c r="C19" s="354"/>
      <c r="D19" s="355"/>
      <c r="E19" s="355"/>
      <c r="F19" s="355"/>
      <c r="G19" s="7"/>
    </row>
    <row r="20" spans="1:11" ht="12.75" customHeight="1">
      <c r="A20" s="410" t="s">
        <v>94</v>
      </c>
      <c r="B20" s="179" t="s">
        <v>62</v>
      </c>
      <c r="C20" s="160">
        <v>240</v>
      </c>
      <c r="D20" s="149"/>
      <c r="E20" s="149"/>
      <c r="F20" s="150"/>
      <c r="G20" s="180"/>
      <c r="H20" s="68"/>
      <c r="I20" s="151"/>
      <c r="J20" s="151"/>
      <c r="K20" s="68"/>
    </row>
    <row r="21" spans="1:11" ht="12.75">
      <c r="A21" s="410"/>
      <c r="B21" s="179" t="s">
        <v>63</v>
      </c>
      <c r="C21" s="160">
        <v>600</v>
      </c>
      <c r="D21" s="151"/>
      <c r="E21" s="151"/>
      <c r="F21" s="152"/>
      <c r="G21" s="180"/>
      <c r="H21" s="151"/>
      <c r="I21" s="151"/>
      <c r="J21" s="151"/>
      <c r="K21" s="68"/>
    </row>
    <row r="22" spans="1:11" ht="12.75">
      <c r="A22" s="410"/>
      <c r="B22" s="179" t="s">
        <v>64</v>
      </c>
      <c r="C22" s="160">
        <v>100</v>
      </c>
      <c r="D22" s="151"/>
      <c r="E22" s="151"/>
      <c r="F22" s="152"/>
      <c r="G22" s="180"/>
      <c r="H22" s="151"/>
      <c r="I22" s="151"/>
      <c r="J22" s="151"/>
      <c r="K22" s="68"/>
    </row>
    <row r="23" spans="1:11" ht="12.75">
      <c r="A23" s="410"/>
      <c r="B23" s="179" t="s">
        <v>159</v>
      </c>
      <c r="C23" s="160">
        <v>200</v>
      </c>
      <c r="D23" s="151"/>
      <c r="E23" s="151"/>
      <c r="F23" s="152"/>
      <c r="G23" s="180"/>
      <c r="H23" s="151"/>
      <c r="I23" s="151"/>
      <c r="J23" s="151"/>
      <c r="K23" s="68"/>
    </row>
    <row r="24" spans="1:11" ht="12.75">
      <c r="A24" s="280"/>
      <c r="B24" s="179" t="s">
        <v>160</v>
      </c>
      <c r="C24" s="160">
        <v>70</v>
      </c>
      <c r="D24" s="151"/>
      <c r="E24" s="151"/>
      <c r="F24" s="152"/>
      <c r="G24" s="180"/>
      <c r="H24" s="151"/>
      <c r="I24" s="151"/>
      <c r="J24" s="151"/>
      <c r="K24" s="68"/>
    </row>
    <row r="25" spans="1:11" ht="12.75">
      <c r="A25" s="280"/>
      <c r="B25" s="308" t="s">
        <v>161</v>
      </c>
      <c r="C25" s="160">
        <v>40</v>
      </c>
      <c r="D25" s="153"/>
      <c r="E25" s="153"/>
      <c r="F25" s="154"/>
      <c r="G25" s="180"/>
      <c r="H25" s="151"/>
      <c r="I25" s="151"/>
      <c r="J25" s="151"/>
      <c r="K25" s="68"/>
    </row>
    <row r="26" spans="8:11" ht="12.75">
      <c r="H26" s="68"/>
      <c r="I26" s="68"/>
      <c r="J26" s="68"/>
      <c r="K26" s="68"/>
    </row>
    <row r="27" spans="8:11" ht="12.75">
      <c r="H27" s="68"/>
      <c r="I27" s="68"/>
      <c r="J27" s="68"/>
      <c r="K27" s="68"/>
    </row>
  </sheetData>
  <mergeCells count="34">
    <mergeCell ref="A5:B5"/>
    <mergeCell ref="H5:J5"/>
    <mergeCell ref="H9:J9"/>
    <mergeCell ref="C4:C15"/>
    <mergeCell ref="D4:D15"/>
    <mergeCell ref="E4:E15"/>
    <mergeCell ref="H14:J14"/>
    <mergeCell ref="H4:J4"/>
    <mergeCell ref="H11:J11"/>
    <mergeCell ref="A8:B8"/>
    <mergeCell ref="H10:J10"/>
    <mergeCell ref="A11:B11"/>
    <mergeCell ref="A9:B9"/>
    <mergeCell ref="I8:J8"/>
    <mergeCell ref="I12:J12"/>
    <mergeCell ref="A20:A23"/>
    <mergeCell ref="F10:F13"/>
    <mergeCell ref="A15:B15"/>
    <mergeCell ref="C18:J18"/>
    <mergeCell ref="A18:B18"/>
    <mergeCell ref="A14:B14"/>
    <mergeCell ref="H15:J15"/>
    <mergeCell ref="A10:B10"/>
    <mergeCell ref="A12:B13"/>
    <mergeCell ref="A1:J1"/>
    <mergeCell ref="A3:B3"/>
    <mergeCell ref="H3:J3"/>
    <mergeCell ref="I13:J13"/>
    <mergeCell ref="C3:F3"/>
    <mergeCell ref="A6:B6"/>
    <mergeCell ref="H6:J6"/>
    <mergeCell ref="A7:B7"/>
    <mergeCell ref="H7:J7"/>
    <mergeCell ref="A4:B4"/>
  </mergeCells>
  <dataValidations count="3">
    <dataValidation allowBlank="1" showInputMessage="1" showErrorMessage="1" prompt="(Hardware + Software) * Customer Device Count" sqref="B20:B22"/>
    <dataValidation allowBlank="1" showInputMessage="1" showErrorMessage="1" prompt="Software * Customer Device Count" sqref="B23:B25"/>
    <dataValidation allowBlank="1" showInputMessage="1" showErrorMessage="1" sqref="D4"/>
  </dataValidations>
  <printOptions horizontalCentered="1" verticalCentered="1"/>
  <pageMargins left="0.5" right="0.5" top="1" bottom="1" header="0.5" footer="0.5"/>
  <pageSetup fitToHeight="1" fitToWidth="1" horizontalDpi="600" verticalDpi="600" orientation="landscape" scale="72" r:id="rId1"/>
  <headerFooter alignWithMargins="0">
    <oddHeader>&amp;L&amp;A&amp;RPrinted on &amp;D at &amp;T</oddHeader>
    <oddFooter>&amp;L&amp;Z
&amp;F&amp;RPage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Multnomah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boylant</dc:creator>
  <cp:keywords/>
  <dc:description/>
  <cp:lastModifiedBy>newimage</cp:lastModifiedBy>
  <cp:lastPrinted>2009-12-14T21:23:26Z</cp:lastPrinted>
  <dcterms:created xsi:type="dcterms:W3CDTF">2008-07-21T19:38:56Z</dcterms:created>
  <dcterms:modified xsi:type="dcterms:W3CDTF">2010-11-17T00:43:23Z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1364774268</vt:i4>
  </property>
  <property fmtid="{D5CDD505-2E9C-101B-9397-08002B2CF9AE}" pid="3" name="_EmailSubject">
    <vt:lpwstr>IT Rates look OK</vt:lpwstr>
  </property>
  <property fmtid="{D5CDD505-2E9C-101B-9397-08002B2CF9AE}" pid="4" name="_AuthorEmail">
    <vt:lpwstr>richard.f.martinez@co.multnomah.or.us</vt:lpwstr>
  </property>
  <property fmtid="{D5CDD505-2E9C-101B-9397-08002B2CF9AE}" pid="5" name="_AuthorEmailDisplayName">
    <vt:lpwstr>MARTINEZ Richard F</vt:lpwstr>
  </property>
  <property fmtid="{D5CDD505-2E9C-101B-9397-08002B2CF9AE}" pid="6" name="_PreviousAdHocReviewCycleID">
    <vt:i4>852773841</vt:i4>
  </property>
  <property fmtid="{D5CDD505-2E9C-101B-9397-08002B2CF9AE}" pid="7" name="_ReviewingToolsShownOnce">
    <vt:lpwstr/>
  </property>
</Properties>
</file>