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revisions/revisionLog1.xml" ContentType="application/vnd.openxmlformats-officedocument.spreadsheetml.revisionLog+xml"/>
  <Override PartName="/xl/revisions/revisionLog1311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revisions/userNames.xml" ContentType="application/vnd.openxmlformats-officedocument.spreadsheetml.userNam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revisions/revisionLog121.xml" ContentType="application/vnd.openxmlformats-officedocument.spreadsheetml.revisionLog+xml"/>
  <Override PartName="/xl/revisions/revisionLog131.xml" ContentType="application/vnd.openxmlformats-officedocument.spreadsheetml.revisionLog+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docProps/custom.xml" ContentType="application/vnd.openxmlformats-officedocument.custom-properties+xml"/>
  <Override PartName="/xl/revisions/revisionLog1211.xml" ContentType="application/vnd.openxmlformats-officedocument.spreadsheetml.revisionLo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revisions/revisionLog12.xml" ContentType="application/vnd.openxmlformats-officedocument.spreadsheetml.revisionLog+xml"/>
  <Override PartName="/xl/revisions/revisionLog13.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customXml/itemProps4.xml" ContentType="application/vnd.openxmlformats-officedocument.customXmlProperties+xml"/>
  <Override PartName="/docProps/core.xml" ContentType="application/vnd.openxmlformats-package.core-properties+xml"/>
  <Override PartName="/xl/revisions/revisionLog13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390" yWindow="90" windowWidth="12120" windowHeight="6780" tabRatio="836" activeTab="1"/>
  </bookViews>
  <sheets>
    <sheet name="Form Instructions" sheetId="1" r:id="rId1"/>
    <sheet name="Budget" sheetId="2" r:id="rId2"/>
    <sheet name="Cash &amp; In-kind Match" sheetId="3" r:id="rId3"/>
    <sheet name="XIX-OAA-OPI Staffing Plan" sheetId="4" r:id="rId4"/>
    <sheet name="Allocated Medicaid Staff" sheetId="5" r:id="rId5"/>
    <sheet name="Allocated Medicaid Staffing" sheetId="6" state="hidden" r:id="rId6"/>
    <sheet name="Data Validation" sheetId="7" r:id="rId7"/>
  </sheets>
  <definedNames>
    <definedName name="_xlnm._FilterDatabase" localSheetId="1" hidden="1">Budget!$A$11:$U$44</definedName>
    <definedName name="Monthly_Meal_Count" localSheetId="4">#REF!</definedName>
    <definedName name="Monthly_Meal_Count">#REF!</definedName>
    <definedName name="Notes" localSheetId="4">#REF!</definedName>
    <definedName name="Notes">#REF!</definedName>
    <definedName name="_xlnm.Print_Area" localSheetId="1">Budget!$A$1:$U$82</definedName>
    <definedName name="_xlnm.Print_Area" localSheetId="0">'Form Instructions'!$A$1:$B$48</definedName>
    <definedName name="_xlnm.Print_Area" localSheetId="3">'XIX-OAA-OPI Staffing Plan'!$A$1:$L$39</definedName>
    <definedName name="_xlnm.Print_Titles" localSheetId="1">Budget!$5:$6</definedName>
    <definedName name="_xlnm.Print_Titles" localSheetId="3">'XIX-OAA-OPI Staffing Plan'!$18:$19</definedName>
    <definedName name="Select_AAA_Name">'Data Validation'!$A$1:$A$18</definedName>
    <definedName name="Select_Budget_Period">'Data Validation'!$B$1:$B$6</definedName>
    <definedName name="Z_6B6D6F50_27BD_4C38_A2D0_F8E35D15D656_.wvu.FilterData" localSheetId="1" hidden="1">Budget!$A$11:$U$44</definedName>
    <definedName name="Z_6B6D6F50_27BD_4C38_A2D0_F8E35D15D656_.wvu.PrintArea" localSheetId="1" hidden="1">Budget!$A$1:$U$82</definedName>
    <definedName name="Z_6B6D6F50_27BD_4C38_A2D0_F8E35D15D656_.wvu.PrintArea" localSheetId="0" hidden="1">'Form Instructions'!$A$1:$B$48</definedName>
    <definedName name="Z_6B6D6F50_27BD_4C38_A2D0_F8E35D15D656_.wvu.PrintArea" localSheetId="3" hidden="1">'XIX-OAA-OPI Staffing Plan'!$A$1:$L$39</definedName>
    <definedName name="Z_6B6D6F50_27BD_4C38_A2D0_F8E35D15D656_.wvu.PrintTitles" localSheetId="1" hidden="1">Budget!$5:$6</definedName>
    <definedName name="Z_6B6D6F50_27BD_4C38_A2D0_F8E35D15D656_.wvu.PrintTitles" localSheetId="3" hidden="1">'XIX-OAA-OPI Staffing Plan'!$18:$19</definedName>
    <definedName name="Z_6B6D6F50_27BD_4C38_A2D0_F8E35D15D656_.wvu.Rows" localSheetId="1" hidden="1">Budget!$84:$85</definedName>
    <definedName name="Z_91A667C6_F252_4792_89C6_D1CF90C6139A_.wvu.FilterData" localSheetId="1" hidden="1">Budget!$A$11:$U$44</definedName>
    <definedName name="Z_91A667C6_F252_4792_89C6_D1CF90C6139A_.wvu.PrintArea" localSheetId="1" hidden="1">Budget!$A$1:$U$82</definedName>
    <definedName name="Z_91A667C6_F252_4792_89C6_D1CF90C6139A_.wvu.PrintArea" localSheetId="0" hidden="1">'Form Instructions'!$A$1:$B$48</definedName>
    <definedName name="Z_91A667C6_F252_4792_89C6_D1CF90C6139A_.wvu.PrintArea" localSheetId="3" hidden="1">'XIX-OAA-OPI Staffing Plan'!$A$1:$L$39</definedName>
    <definedName name="Z_91A667C6_F252_4792_89C6_D1CF90C6139A_.wvu.PrintTitles" localSheetId="1" hidden="1">Budget!$5:$6</definedName>
    <definedName name="Z_91A667C6_F252_4792_89C6_D1CF90C6139A_.wvu.PrintTitles" localSheetId="3" hidden="1">'XIX-OAA-OPI Staffing Plan'!$18:$19</definedName>
    <definedName name="Z_91A667C6_F252_4792_89C6_D1CF90C6139A_.wvu.Rows" localSheetId="1" hidden="1">Budget!$84:$85</definedName>
    <definedName name="Z_AB1FFAD6_1D3B_42E3_A3A7_9220125B4B05_.wvu.FilterData" localSheetId="1" hidden="1">Budget!$A$11:$U$44</definedName>
    <definedName name="Z_AB1FFAD6_1D3B_42E3_A3A7_9220125B4B05_.wvu.PrintArea" localSheetId="1" hidden="1">Budget!$A$1:$U$82</definedName>
    <definedName name="Z_AB1FFAD6_1D3B_42E3_A3A7_9220125B4B05_.wvu.PrintArea" localSheetId="0" hidden="1">'Form Instructions'!$A$1:$B$48</definedName>
    <definedName name="Z_AB1FFAD6_1D3B_42E3_A3A7_9220125B4B05_.wvu.PrintArea" localSheetId="3" hidden="1">'XIX-OAA-OPI Staffing Plan'!$A$1:$L$39</definedName>
    <definedName name="Z_AB1FFAD6_1D3B_42E3_A3A7_9220125B4B05_.wvu.PrintTitles" localSheetId="1" hidden="1">Budget!$5:$6</definedName>
    <definedName name="Z_AB1FFAD6_1D3B_42E3_A3A7_9220125B4B05_.wvu.PrintTitles" localSheetId="3" hidden="1">'XIX-OAA-OPI Staffing Plan'!$18:$19</definedName>
    <definedName name="Z_AB1FFAD6_1D3B_42E3_A3A7_9220125B4B05_.wvu.Rows" localSheetId="1" hidden="1">Budget!$84:$85</definedName>
    <definedName name="Z_B5815511_5174_4022_8727_E29AD76A8A57_.wvu.FilterData" localSheetId="1" hidden="1">Budget!$A$11:$U$44</definedName>
    <definedName name="Z_B5815511_5174_4022_8727_E29AD76A8A57_.wvu.PrintArea" localSheetId="1" hidden="1">Budget!$A$1:$U$82</definedName>
    <definedName name="Z_B5815511_5174_4022_8727_E29AD76A8A57_.wvu.PrintArea" localSheetId="0" hidden="1">'Form Instructions'!$A$1:$B$48</definedName>
    <definedName name="Z_B5815511_5174_4022_8727_E29AD76A8A57_.wvu.PrintArea" localSheetId="3" hidden="1">'XIX-OAA-OPI Staffing Plan'!$A$1:$L$39</definedName>
    <definedName name="Z_B5815511_5174_4022_8727_E29AD76A8A57_.wvu.PrintTitles" localSheetId="1" hidden="1">Budget!$5:$6</definedName>
    <definedName name="Z_B5815511_5174_4022_8727_E29AD76A8A57_.wvu.PrintTitles" localSheetId="3" hidden="1">'XIX-OAA-OPI Staffing Plan'!$18:$19</definedName>
    <definedName name="Z_B5815511_5174_4022_8727_E29AD76A8A57_.wvu.Rows" localSheetId="1" hidden="1">Budget!$84:$85</definedName>
    <definedName name="Z_FC59C8CD_A934_4366_8337_D6B3831494AD_.wvu.FilterData" localSheetId="1" hidden="1">Budget!$A$11:$U$44</definedName>
    <definedName name="Z_FC59C8CD_A934_4366_8337_D6B3831494AD_.wvu.PrintArea" localSheetId="1" hidden="1">Budget!$A$1:$U$82</definedName>
    <definedName name="Z_FC59C8CD_A934_4366_8337_D6B3831494AD_.wvu.PrintArea" localSheetId="0" hidden="1">'Form Instructions'!$A$1:$B$48</definedName>
    <definedName name="Z_FC59C8CD_A934_4366_8337_D6B3831494AD_.wvu.PrintArea" localSheetId="3" hidden="1">'XIX-OAA-OPI Staffing Plan'!$A$1:$L$39</definedName>
    <definedName name="Z_FC59C8CD_A934_4366_8337_D6B3831494AD_.wvu.PrintTitles" localSheetId="1" hidden="1">Budget!$5:$6</definedName>
    <definedName name="Z_FC59C8CD_A934_4366_8337_D6B3831494AD_.wvu.PrintTitles" localSheetId="3" hidden="1">'XIX-OAA-OPI Staffing Plan'!$18:$19</definedName>
    <definedName name="Z_FC59C8CD_A934_4366_8337_D6B3831494AD_.wvu.Rows" localSheetId="1" hidden="1">Budget!$84:$85</definedName>
  </definedNames>
  <calcPr calcId="125725"/>
  <customWorkbookViews>
    <customWorkbookView name="webberr - Personal View" guid="{AB1FFAD6-1D3B-42E3-A3A7-9220125B4B05}" mergeInterval="0" personalView="1" maximized="1" xWindow="1" yWindow="1" windowWidth="978" windowHeight="868" tabRatio="836" activeSheetId="2"/>
    <customWorkbookView name="girardl - Personal View" guid="{91A667C6-F252-4792-89C6-D1CF90C6139A}" mergeInterval="0" personalView="1" maximized="1" xWindow="1" yWindow="1" windowWidth="1920" windowHeight="809" tabRatio="836" activeSheetId="2"/>
    <customWorkbookView name="millerre - Personal View" guid="{B5815511-5174-4022-8727-E29AD76A8A57}" mergeInterval="0" personalView="1" maximized="1" xWindow="1" yWindow="1" windowWidth="1680" windowHeight="820" tabRatio="836" activeSheetId="2"/>
    <customWorkbookView name="villarj - Personal View" guid="{FC59C8CD-A934-4366-8337-D6B3831494AD}" mergeInterval="0" personalView="1" maximized="1" xWindow="1" yWindow="1" windowWidth="1920" windowHeight="850" tabRatio="836" activeSheetId="2"/>
    <customWorkbookView name="THIRUNI - Personal View" guid="{6B6D6F50-27BD-4C38-A2D0-F8E35D15D656}" mergeInterval="0" personalView="1" maximized="1" xWindow="1" yWindow="1" windowWidth="1676" windowHeight="788" tabRatio="836" activeSheetId="2"/>
  </customWorkbookViews>
</workbook>
</file>

<file path=xl/calcChain.xml><?xml version="1.0" encoding="utf-8"?>
<calcChain xmlns="http://schemas.openxmlformats.org/spreadsheetml/2006/main">
  <c r="T26" i="2"/>
  <c r="S27"/>
  <c r="T27" s="1"/>
  <c r="R15"/>
  <c r="R8"/>
  <c r="R18"/>
  <c r="R12"/>
  <c r="R11" s="1"/>
  <c r="B29" i="4"/>
  <c r="A5" i="6"/>
  <c r="A5" i="5"/>
  <c r="A3" i="4"/>
  <c r="E8"/>
  <c r="L8"/>
  <c r="E9"/>
  <c r="L9"/>
  <c r="L16" s="1"/>
  <c r="E10"/>
  <c r="L10"/>
  <c r="E11"/>
  <c r="L11"/>
  <c r="E12"/>
  <c r="L12"/>
  <c r="E13"/>
  <c r="L13"/>
  <c r="E14"/>
  <c r="L14"/>
  <c r="E15"/>
  <c r="L15"/>
  <c r="B16"/>
  <c r="B36" s="1"/>
  <c r="B39" s="1"/>
  <c r="C16"/>
  <c r="C36" s="1"/>
  <c r="D16"/>
  <c r="D36" s="1"/>
  <c r="D39" s="1"/>
  <c r="F16"/>
  <c r="F36" s="1"/>
  <c r="G16"/>
  <c r="H16"/>
  <c r="I16"/>
  <c r="I36" s="1"/>
  <c r="J16"/>
  <c r="J36" s="1"/>
  <c r="J39" s="1"/>
  <c r="K16"/>
  <c r="K36"/>
  <c r="E20"/>
  <c r="E29" s="1"/>
  <c r="E37" s="1"/>
  <c r="L20"/>
  <c r="E21"/>
  <c r="L21"/>
  <c r="E22"/>
  <c r="L22"/>
  <c r="E23"/>
  <c r="L23"/>
  <c r="E24"/>
  <c r="L24"/>
  <c r="E25"/>
  <c r="L25"/>
  <c r="L29" s="1"/>
  <c r="L37" s="1"/>
  <c r="E26"/>
  <c r="L26"/>
  <c r="E27"/>
  <c r="L27"/>
  <c r="E28"/>
  <c r="L28"/>
  <c r="C29"/>
  <c r="C37"/>
  <c r="D29"/>
  <c r="D37" s="1"/>
  <c r="F29"/>
  <c r="F37" s="1"/>
  <c r="G29"/>
  <c r="G37" s="1"/>
  <c r="H29"/>
  <c r="H37" s="1"/>
  <c r="I29"/>
  <c r="I37" s="1"/>
  <c r="J29"/>
  <c r="K29"/>
  <c r="K37" s="1"/>
  <c r="K39" s="1"/>
  <c r="E30"/>
  <c r="L30"/>
  <c r="E31"/>
  <c r="L31"/>
  <c r="E32"/>
  <c r="L32"/>
  <c r="E33"/>
  <c r="L33"/>
  <c r="E34"/>
  <c r="L34"/>
  <c r="E35"/>
  <c r="L35"/>
  <c r="A36"/>
  <c r="G36"/>
  <c r="H36"/>
  <c r="A37"/>
  <c r="B37"/>
  <c r="J37"/>
  <c r="A3" i="3"/>
  <c r="B9"/>
  <c r="D9"/>
  <c r="H9" s="1"/>
  <c r="H22" s="1"/>
  <c r="I9"/>
  <c r="I22" s="1"/>
  <c r="H10"/>
  <c r="I10"/>
  <c r="H11"/>
  <c r="I11"/>
  <c r="H12"/>
  <c r="I12"/>
  <c r="H13"/>
  <c r="I13"/>
  <c r="H14"/>
  <c r="I14"/>
  <c r="D15"/>
  <c r="H15" s="1"/>
  <c r="I15"/>
  <c r="H16"/>
  <c r="I16"/>
  <c r="H17"/>
  <c r="I17"/>
  <c r="H18"/>
  <c r="I18"/>
  <c r="H19"/>
  <c r="I19"/>
  <c r="H20"/>
  <c r="I20"/>
  <c r="H21"/>
  <c r="I21"/>
  <c r="B22"/>
  <c r="C22"/>
  <c r="E22"/>
  <c r="F22"/>
  <c r="G22"/>
  <c r="B29"/>
  <c r="B36"/>
  <c r="A2" i="2"/>
  <c r="A4" i="6" s="1"/>
  <c r="I7" i="2"/>
  <c r="J7"/>
  <c r="K7"/>
  <c r="L7"/>
  <c r="M7"/>
  <c r="O7"/>
  <c r="Q7"/>
  <c r="H8"/>
  <c r="N8" s="1"/>
  <c r="P8"/>
  <c r="P7" s="1"/>
  <c r="N9"/>
  <c r="R9"/>
  <c r="R7" s="1"/>
  <c r="N10"/>
  <c r="S10" s="1"/>
  <c r="R10"/>
  <c r="H11"/>
  <c r="I11"/>
  <c r="J11"/>
  <c r="K11"/>
  <c r="L11"/>
  <c r="M11"/>
  <c r="O11"/>
  <c r="P11"/>
  <c r="Q11"/>
  <c r="H12"/>
  <c r="N12" s="1"/>
  <c r="P12"/>
  <c r="Q12"/>
  <c r="N13"/>
  <c r="S13" s="1"/>
  <c r="T13" s="1"/>
  <c r="N14"/>
  <c r="S14" s="1"/>
  <c r="T14" s="1"/>
  <c r="R14"/>
  <c r="H15"/>
  <c r="N15"/>
  <c r="S15" s="1"/>
  <c r="T15" s="1"/>
  <c r="N16"/>
  <c r="R16"/>
  <c r="N17"/>
  <c r="S17" s="1"/>
  <c r="T17" s="1"/>
  <c r="N18"/>
  <c r="S18" s="1"/>
  <c r="T18" s="1"/>
  <c r="N19"/>
  <c r="S19" s="1"/>
  <c r="T19" s="1"/>
  <c r="R19"/>
  <c r="N20"/>
  <c r="S20" s="1"/>
  <c r="T20" s="1"/>
  <c r="R20"/>
  <c r="N21"/>
  <c r="S21" s="1"/>
  <c r="T21" s="1"/>
  <c r="N22"/>
  <c r="S22" s="1"/>
  <c r="T22" s="1"/>
  <c r="N23"/>
  <c r="S23" s="1"/>
  <c r="T23" s="1"/>
  <c r="H24"/>
  <c r="I24"/>
  <c r="J24"/>
  <c r="K24"/>
  <c r="L24"/>
  <c r="M24"/>
  <c r="O24"/>
  <c r="Q24"/>
  <c r="N25"/>
  <c r="S25" s="1"/>
  <c r="T25" s="1"/>
  <c r="R25"/>
  <c r="N26"/>
  <c r="S26" s="1"/>
  <c r="N27"/>
  <c r="P24"/>
  <c r="R27"/>
  <c r="N28"/>
  <c r="S28" s="1"/>
  <c r="T28" s="1"/>
  <c r="N29"/>
  <c r="S29" s="1"/>
  <c r="T29" s="1"/>
  <c r="N30"/>
  <c r="S30" s="1"/>
  <c r="T30" s="1"/>
  <c r="N31"/>
  <c r="S31" s="1"/>
  <c r="T31" s="1"/>
  <c r="R31"/>
  <c r="R24" s="1"/>
  <c r="N32"/>
  <c r="S32" s="1"/>
  <c r="T32" s="1"/>
  <c r="N33"/>
  <c r="S33" s="1"/>
  <c r="T33" s="1"/>
  <c r="N34"/>
  <c r="S34" s="1"/>
  <c r="T34" s="1"/>
  <c r="N35"/>
  <c r="S35" s="1"/>
  <c r="T35" s="1"/>
  <c r="N36"/>
  <c r="S36" s="1"/>
  <c r="T36" s="1"/>
  <c r="R36"/>
  <c r="N37"/>
  <c r="R37"/>
  <c r="H38"/>
  <c r="I38"/>
  <c r="J38"/>
  <c r="J82" s="1"/>
  <c r="K38"/>
  <c r="L38"/>
  <c r="M38"/>
  <c r="O38"/>
  <c r="P38"/>
  <c r="Q38"/>
  <c r="N39"/>
  <c r="N38" s="1"/>
  <c r="S38" s="1"/>
  <c r="R39"/>
  <c r="R38" s="1"/>
  <c r="H40"/>
  <c r="J40"/>
  <c r="K40"/>
  <c r="L40"/>
  <c r="M40"/>
  <c r="O40"/>
  <c r="P40"/>
  <c r="Q40"/>
  <c r="J41"/>
  <c r="N41"/>
  <c r="S41" s="1"/>
  <c r="T41" s="1"/>
  <c r="R41"/>
  <c r="R40" s="1"/>
  <c r="I42"/>
  <c r="I40" s="1"/>
  <c r="R42"/>
  <c r="N43"/>
  <c r="S43" s="1"/>
  <c r="T43" s="1"/>
  <c r="N44"/>
  <c r="S44" s="1"/>
  <c r="T44" s="1"/>
  <c r="H46"/>
  <c r="I46"/>
  <c r="J46"/>
  <c r="K46"/>
  <c r="L46"/>
  <c r="M46"/>
  <c r="O46"/>
  <c r="P46"/>
  <c r="Q46"/>
  <c r="N47"/>
  <c r="R47"/>
  <c r="N48"/>
  <c r="S48"/>
  <c r="T48" s="1"/>
  <c r="L49"/>
  <c r="N49"/>
  <c r="S49" s="1"/>
  <c r="T49" s="1"/>
  <c r="R49"/>
  <c r="N50"/>
  <c r="S50"/>
  <c r="T50" s="1"/>
  <c r="N51"/>
  <c r="S51"/>
  <c r="T51" s="1"/>
  <c r="N52"/>
  <c r="S52" s="1"/>
  <c r="T52" s="1"/>
  <c r="N53"/>
  <c r="S53" s="1"/>
  <c r="T53" s="1"/>
  <c r="N54"/>
  <c r="S54" s="1"/>
  <c r="T54" s="1"/>
  <c r="N55"/>
  <c r="S55" s="1"/>
  <c r="T55" s="1"/>
  <c r="N56"/>
  <c r="S56" s="1"/>
  <c r="T56" s="1"/>
  <c r="N57"/>
  <c r="S57" s="1"/>
  <c r="T57" s="1"/>
  <c r="N58"/>
  <c r="S58"/>
  <c r="T58" s="1"/>
  <c r="N59"/>
  <c r="R59"/>
  <c r="S59" s="1"/>
  <c r="T59" s="1"/>
  <c r="L60"/>
  <c r="N60" s="1"/>
  <c r="S60" s="1"/>
  <c r="T60" s="1"/>
  <c r="L61"/>
  <c r="N61"/>
  <c r="S61" s="1"/>
  <c r="T61" s="1"/>
  <c r="R61"/>
  <c r="N62"/>
  <c r="R62"/>
  <c r="S62" s="1"/>
  <c r="T62" s="1"/>
  <c r="H63"/>
  <c r="I63"/>
  <c r="J63"/>
  <c r="K63"/>
  <c r="L63"/>
  <c r="M63"/>
  <c r="O63"/>
  <c r="P63"/>
  <c r="Q63"/>
  <c r="N64"/>
  <c r="S64"/>
  <c r="T64" s="1"/>
  <c r="N65"/>
  <c r="S65"/>
  <c r="T65" s="1"/>
  <c r="N66"/>
  <c r="S66" s="1"/>
  <c r="T66" s="1"/>
  <c r="R66"/>
  <c r="N67"/>
  <c r="S67" s="1"/>
  <c r="T67" s="1"/>
  <c r="N68"/>
  <c r="S68" s="1"/>
  <c r="T68" s="1"/>
  <c r="N69"/>
  <c r="S69"/>
  <c r="T69" s="1"/>
  <c r="N70"/>
  <c r="S70"/>
  <c r="T70" s="1"/>
  <c r="N71"/>
  <c r="S71" s="1"/>
  <c r="T71" s="1"/>
  <c r="R71"/>
  <c r="N72"/>
  <c r="Q72"/>
  <c r="S72"/>
  <c r="T72" s="1"/>
  <c r="N73"/>
  <c r="S73" s="1"/>
  <c r="T73" s="1"/>
  <c r="N74"/>
  <c r="S74" s="1"/>
  <c r="T74" s="1"/>
  <c r="R74"/>
  <c r="R63" s="1"/>
  <c r="N75"/>
  <c r="S75" s="1"/>
  <c r="T75" s="1"/>
  <c r="R75"/>
  <c r="N76"/>
  <c r="S76" s="1"/>
  <c r="T76" s="1"/>
  <c r="N77"/>
  <c r="S77" s="1"/>
  <c r="T77" s="1"/>
  <c r="N78"/>
  <c r="S78" s="1"/>
  <c r="T78" s="1"/>
  <c r="N79"/>
  <c r="S79" s="1"/>
  <c r="T79" s="1"/>
  <c r="N80"/>
  <c r="S80" s="1"/>
  <c r="T80" s="1"/>
  <c r="N81"/>
  <c r="S81"/>
  <c r="T81" s="1"/>
  <c r="E16" i="4"/>
  <c r="A2" i="3" l="1"/>
  <c r="O82" i="2"/>
  <c r="Q82"/>
  <c r="S16"/>
  <c r="T16" s="1"/>
  <c r="M82"/>
  <c r="S37"/>
  <c r="T37" s="1"/>
  <c r="L82"/>
  <c r="K82"/>
  <c r="P82"/>
  <c r="R82"/>
  <c r="N46"/>
  <c r="I82"/>
  <c r="I39" i="4"/>
  <c r="N11" i="2"/>
  <c r="S11" s="1"/>
  <c r="S12"/>
  <c r="T12" s="1"/>
  <c r="E36" i="4"/>
  <c r="E39" s="1"/>
  <c r="C39"/>
  <c r="S8" i="2"/>
  <c r="N7"/>
  <c r="S7" s="1"/>
  <c r="G39" i="4"/>
  <c r="F39"/>
  <c r="L36"/>
  <c r="L39" s="1"/>
  <c r="H39"/>
  <c r="N24" i="2"/>
  <c r="S24" s="1"/>
  <c r="N63"/>
  <c r="R46"/>
  <c r="S39"/>
  <c r="T39" s="1"/>
  <c r="D22" i="3"/>
  <c r="H7" i="2"/>
  <c r="H82" s="1"/>
  <c r="S9"/>
  <c r="S47"/>
  <c r="T47" s="1"/>
  <c r="N42"/>
  <c r="S42" s="1"/>
  <c r="T42" s="1"/>
  <c r="A2" i="4"/>
  <c r="A4" i="5"/>
  <c r="N40" i="2" l="1"/>
  <c r="S40" s="1"/>
  <c r="H85"/>
  <c r="H84"/>
  <c r="S63"/>
  <c r="S46"/>
  <c r="N82" l="1"/>
  <c r="S82"/>
</calcChain>
</file>

<file path=xl/comments1.xml><?xml version="1.0" encoding="utf-8"?>
<comments xmlns="http://schemas.openxmlformats.org/spreadsheetml/2006/main">
  <authors>
    <author>Rhonda B</author>
    <author>DHS-OIS-NDS</author>
  </authors>
  <commentList>
    <comment ref="B2" authorId="0" guid="{AE6E9788-4272-44EE-BDD7-F17FFCA8716C}">
      <text>
        <r>
          <rPr>
            <b/>
            <sz val="16"/>
            <color indexed="10"/>
            <rFont val="Tahoma"/>
            <family val="2"/>
          </rPr>
          <t>Place cursor at Select and choose AAA.
Repeat for Budget Period.</t>
        </r>
      </text>
    </comment>
    <comment ref="H11" authorId="1" guid="{8E575216-067D-44F3-A256-C43FA1A1C611}">
      <text>
        <r>
          <rPr>
            <b/>
            <sz val="8"/>
            <color indexed="81"/>
            <rFont val="Tahoma"/>
            <family val="2"/>
          </rPr>
          <t>If column is "RED" please check your entries, they must be equal to or greater than 18% of the Grand Total</t>
        </r>
      </text>
    </comment>
    <comment ref="H24" authorId="1" guid="{4B1BDA4B-A1CF-454E-AA69-5F049B92CA50}">
      <text>
        <r>
          <rPr>
            <b/>
            <sz val="8"/>
            <color indexed="81"/>
            <rFont val="Tahoma"/>
            <family val="2"/>
          </rPr>
          <t>If column is "RED" please check your entries, they must be equal to or greater than 3% of the Grand Total</t>
        </r>
      </text>
    </comment>
    <comment ref="H38" authorId="1" guid="{E6B5826F-E700-4EDE-BDA8-4FC2031107AB}">
      <text>
        <r>
          <rPr>
            <b/>
            <sz val="8"/>
            <color indexed="81"/>
            <rFont val="Tahoma"/>
            <family val="2"/>
          </rPr>
          <t>If column is "RED" please check your entries, they must be equal to or greater than 3% of the Grand Total</t>
        </r>
        <r>
          <rPr>
            <sz val="8"/>
            <color indexed="81"/>
            <rFont val="Tahoma"/>
            <family val="2"/>
          </rPr>
          <t xml:space="preserve">
</t>
        </r>
      </text>
    </comment>
  </commentList>
</comments>
</file>

<file path=xl/sharedStrings.xml><?xml version="1.0" encoding="utf-8"?>
<sst xmlns="http://schemas.openxmlformats.org/spreadsheetml/2006/main" count="498" uniqueCount="337">
  <si>
    <t>Personal Care</t>
  </si>
  <si>
    <t>Personal Care - HCW</t>
  </si>
  <si>
    <t>Homemaker/Home Care</t>
  </si>
  <si>
    <t>Homemaker/Home Care - HCW</t>
  </si>
  <si>
    <t>Chore</t>
  </si>
  <si>
    <t>Chore - HCW</t>
  </si>
  <si>
    <t>Adult Day Care/Adult Day Health</t>
  </si>
  <si>
    <t>Case Management</t>
  </si>
  <si>
    <t>Congregate Meals</t>
  </si>
  <si>
    <t>Nutrition Counseling</t>
  </si>
  <si>
    <t>Assisted Transportation</t>
  </si>
  <si>
    <t>Transportation</t>
  </si>
  <si>
    <t>Legal Assistance</t>
  </si>
  <si>
    <t>Nutrition Education</t>
  </si>
  <si>
    <t>Information &amp; Assistance</t>
  </si>
  <si>
    <t>Outreach</t>
  </si>
  <si>
    <t>Information for Caregivers</t>
  </si>
  <si>
    <t>15a</t>
  </si>
  <si>
    <t>Information for CGs serving Children</t>
  </si>
  <si>
    <t xml:space="preserve">Caregiver Access Assistance </t>
  </si>
  <si>
    <t>16-a</t>
  </si>
  <si>
    <t xml:space="preserve">Caregiver Access Assistance-Serving Children </t>
  </si>
  <si>
    <t>20-1</t>
  </si>
  <si>
    <t>Area Plan Administration</t>
  </si>
  <si>
    <t>20-2</t>
  </si>
  <si>
    <t>AAA Advocacy</t>
  </si>
  <si>
    <t>20-3</t>
  </si>
  <si>
    <t>Program Coordination &amp; Development</t>
  </si>
  <si>
    <t>30-1</t>
  </si>
  <si>
    <t>Home Repair/Modification</t>
  </si>
  <si>
    <t>30-4</t>
  </si>
  <si>
    <t>Respite (IIIB or OPI funded)</t>
  </si>
  <si>
    <t>30-5</t>
  </si>
  <si>
    <t>Caregiver Respite</t>
  </si>
  <si>
    <t>30-5a</t>
  </si>
  <si>
    <t>Caregiver Respite for Caregivers Serving Children</t>
  </si>
  <si>
    <t>30-6</t>
  </si>
  <si>
    <t xml:space="preserve">Caregiver Support Groups </t>
  </si>
  <si>
    <t>30-6a</t>
  </si>
  <si>
    <t>30-7</t>
  </si>
  <si>
    <t xml:space="preserve">Caregiver Supplemental Services </t>
  </si>
  <si>
    <t>30-7a</t>
  </si>
  <si>
    <t>Caregiver Supplemental Services-Serving Children</t>
  </si>
  <si>
    <t>40-2</t>
  </si>
  <si>
    <t>Physical Activity &amp; Falls Prevention</t>
  </si>
  <si>
    <t>40-3</t>
  </si>
  <si>
    <t>Preventive Screening, Counseling, and  Referral</t>
  </si>
  <si>
    <t>40-4</t>
  </si>
  <si>
    <t>Mental Health Screening &amp; Referral</t>
  </si>
  <si>
    <t>40-5</t>
  </si>
  <si>
    <t>40-8</t>
  </si>
  <si>
    <t>Registered Nurse Services</t>
  </si>
  <si>
    <t>40-9</t>
  </si>
  <si>
    <t>Medication Management</t>
  </si>
  <si>
    <t>50-1</t>
  </si>
  <si>
    <t>Guardianship/Conservatorship</t>
  </si>
  <si>
    <t>50-3</t>
  </si>
  <si>
    <t>Elder Abuse Awareness and Prevention</t>
  </si>
  <si>
    <t>50-4</t>
  </si>
  <si>
    <t>50-5</t>
  </si>
  <si>
    <t>LTC Ombudsman</t>
  </si>
  <si>
    <t>Recreation</t>
  </si>
  <si>
    <t>60-3</t>
  </si>
  <si>
    <t>Reassurance</t>
  </si>
  <si>
    <t>60-4</t>
  </si>
  <si>
    <t>Volunteer Recruitment</t>
  </si>
  <si>
    <t>60-5</t>
  </si>
  <si>
    <t>Interpreting/Translation</t>
  </si>
  <si>
    <t>70-2</t>
  </si>
  <si>
    <t>Options Counseling</t>
  </si>
  <si>
    <t>70-2a</t>
  </si>
  <si>
    <t>Caregiver Counseling</t>
  </si>
  <si>
    <t>70-2b</t>
  </si>
  <si>
    <t>Caregiver Counseling-Serving Children</t>
  </si>
  <si>
    <t>70-5</t>
  </si>
  <si>
    <t>Newsletter</t>
  </si>
  <si>
    <t>70-8</t>
  </si>
  <si>
    <t>Fee-Based Case Management</t>
  </si>
  <si>
    <t>70-9</t>
  </si>
  <si>
    <t>Caregiver Training</t>
  </si>
  <si>
    <t>70-9a</t>
  </si>
  <si>
    <t>Caregiver Training - Serving Children</t>
  </si>
  <si>
    <t>70-10</t>
  </si>
  <si>
    <t>Public Outreach/Education</t>
  </si>
  <si>
    <t>Chronic Disease Prevention, Management &amp; Ed</t>
  </si>
  <si>
    <t>73a</t>
  </si>
  <si>
    <t>80-1</t>
  </si>
  <si>
    <t>Senior Center Assistance</t>
  </si>
  <si>
    <t>80-4</t>
  </si>
  <si>
    <t>Financial Assistance</t>
  </si>
  <si>
    <t>80-5</t>
  </si>
  <si>
    <t>Money Management</t>
  </si>
  <si>
    <t>80-6</t>
  </si>
  <si>
    <t>Center Renovation/Acquisition</t>
  </si>
  <si>
    <t>90-1</t>
  </si>
  <si>
    <t>Volunteer Services</t>
  </si>
  <si>
    <t>Other  (specify)</t>
  </si>
  <si>
    <t>ADMINISTRATION</t>
  </si>
  <si>
    <t>IN-HOME SERVICES</t>
  </si>
  <si>
    <t>ACCESS SERVICES</t>
  </si>
  <si>
    <t>FAMILY CAREGIVER SUPPORT</t>
  </si>
  <si>
    <t>LEGAL SERVICES</t>
  </si>
  <si>
    <t>NUTRITION SERVICES</t>
  </si>
  <si>
    <t>OAA
Total</t>
  </si>
  <si>
    <t>OAA</t>
  </si>
  <si>
    <t>SOCIAL &amp; HEALTH SERVICES</t>
  </si>
  <si>
    <t>NSIP</t>
  </si>
  <si>
    <t>OPI</t>
  </si>
  <si>
    <t>Total
Funds</t>
  </si>
  <si>
    <t>1 hour</t>
  </si>
  <si>
    <t>1 one-way trip</t>
  </si>
  <si>
    <t>1 contact</t>
  </si>
  <si>
    <t>1 client served</t>
  </si>
  <si>
    <t>1 payment</t>
  </si>
  <si>
    <t>1 meal</t>
  </si>
  <si>
    <t>Home Delivered Meals</t>
  </si>
  <si>
    <t>1 activity</t>
  </si>
  <si>
    <t>1 center served</t>
  </si>
  <si>
    <t>1 placement</t>
  </si>
  <si>
    <t>Caregiver Support Groups Serving Children</t>
  </si>
  <si>
    <t>TOTAL</t>
  </si>
  <si>
    <t>Column Totals:</t>
  </si>
  <si>
    <t>(3)</t>
  </si>
  <si>
    <t>(4)</t>
  </si>
  <si>
    <t>(5)</t>
  </si>
  <si>
    <t>(6)</t>
  </si>
  <si>
    <t>(7)</t>
  </si>
  <si>
    <t>(8)</t>
  </si>
  <si>
    <t>(9)</t>
  </si>
  <si>
    <t>(10)</t>
  </si>
  <si>
    <t>SERVICE NAME</t>
  </si>
  <si>
    <t>Other Cash Funds</t>
  </si>
  <si>
    <t>Medicaid Funds Regular Allocation</t>
  </si>
  <si>
    <t>Medicaid Funds Local Match</t>
  </si>
  <si>
    <t>Medicaid Matched by Local Funds</t>
  </si>
  <si>
    <t>Annual Salary (excludes OPE)</t>
  </si>
  <si>
    <t>Annual OPE</t>
  </si>
  <si>
    <t>OAA Funds</t>
  </si>
  <si>
    <t>OPI Funds</t>
  </si>
  <si>
    <t>Other Funds</t>
  </si>
  <si>
    <t>Total</t>
  </si>
  <si>
    <t>(11)</t>
  </si>
  <si>
    <t>(12)</t>
  </si>
  <si>
    <t>(13)</t>
  </si>
  <si>
    <t>(14)</t>
  </si>
  <si>
    <t>(15)</t>
  </si>
  <si>
    <t>(16)</t>
  </si>
  <si>
    <r>
      <t>Estimated Units:</t>
    </r>
    <r>
      <rPr>
        <sz val="10"/>
        <rFont val="Arial"/>
      </rPr>
      <t xml:space="preserve"> Enter the estimated number of units of service you plan to deliver over the budget period. </t>
    </r>
  </si>
  <si>
    <r>
      <t>OAA Cash Match Source:</t>
    </r>
    <r>
      <rPr>
        <sz val="10"/>
        <rFont val="Arial"/>
      </rPr>
      <t xml:space="preserve"> Enter description of source .</t>
    </r>
  </si>
  <si>
    <t>FTE Worked</t>
  </si>
  <si>
    <t>T VII</t>
  </si>
  <si>
    <t>T III B</t>
  </si>
  <si>
    <t>T III C-1</t>
  </si>
  <si>
    <t>T III C-2</t>
  </si>
  <si>
    <t>T III D</t>
  </si>
  <si>
    <t>T III E</t>
  </si>
  <si>
    <r>
      <t>Service Name:</t>
    </r>
    <r>
      <rPr>
        <sz val="10"/>
        <rFont val="Arial"/>
      </rPr>
      <t xml:space="preserve"> This column has been entered for you, refer to document, </t>
    </r>
    <r>
      <rPr>
        <b/>
        <sz val="10"/>
        <rFont val="Arial"/>
        <family val="2"/>
      </rPr>
      <t>Service Units and Definitions for Older Americans Act and Oregon Project Independence Programs</t>
    </r>
    <r>
      <rPr>
        <sz val="10"/>
        <rFont val="Arial"/>
      </rPr>
      <t xml:space="preserve"> for further information.</t>
    </r>
  </si>
  <si>
    <t>TOTAL Inkind Match</t>
  </si>
  <si>
    <t>GRAND TOTAL</t>
  </si>
  <si>
    <t>OAA III E Cash Match</t>
  </si>
  <si>
    <t>Admin. Cash Match</t>
  </si>
  <si>
    <r>
      <t xml:space="preserve">OAA Total:  </t>
    </r>
    <r>
      <rPr>
        <sz val="10"/>
        <rFont val="Arial"/>
        <family val="2"/>
      </rPr>
      <t xml:space="preserve">No entry necessary, a formula will populate a total. </t>
    </r>
  </si>
  <si>
    <r>
      <t xml:space="preserve">Total Funds:  </t>
    </r>
    <r>
      <rPr>
        <sz val="10"/>
        <rFont val="Arial"/>
        <family val="2"/>
      </rPr>
      <t>No entry necessary, a formula will populate a total.</t>
    </r>
  </si>
  <si>
    <r>
      <t xml:space="preserve">Cost Per Unit: </t>
    </r>
    <r>
      <rPr>
        <sz val="10"/>
        <rFont val="Arial"/>
        <family val="2"/>
      </rPr>
      <t>No entry necessary a formula will automatically populate your cost per unit dollars.</t>
    </r>
  </si>
  <si>
    <t>III B &amp; C Cash Match</t>
  </si>
  <si>
    <t>Admin. Inkind Match</t>
  </si>
  <si>
    <t>III B &amp; C Inkind Match</t>
  </si>
  <si>
    <t>III E Inkind Match</t>
  </si>
  <si>
    <t>TOTAL Cash Match</t>
  </si>
  <si>
    <r>
      <t xml:space="preserve">Cash Match: </t>
    </r>
    <r>
      <rPr>
        <sz val="10"/>
        <rFont val="Arial"/>
      </rPr>
      <t>Enter the budgeted cash match by source for Area Plan Administration, Title III B&amp;C (these may be pooled) and Title III E.  All match must be from documented non-Federal sources.</t>
    </r>
  </si>
  <si>
    <r>
      <t>Total Inkind Match:</t>
    </r>
    <r>
      <rPr>
        <sz val="10"/>
        <rFont val="Arial"/>
      </rPr>
      <t xml:space="preserve"> No entry necessary, a formula will populate a total.</t>
    </r>
  </si>
  <si>
    <r>
      <t>Total:</t>
    </r>
    <r>
      <rPr>
        <sz val="10"/>
        <rFont val="Arial"/>
      </rPr>
      <t xml:space="preserve"> No entry necessary, a formula will populate a total.</t>
    </r>
  </si>
  <si>
    <t>Position
Title</t>
  </si>
  <si>
    <r>
      <t xml:space="preserve">Annual Salary:  </t>
    </r>
    <r>
      <rPr>
        <sz val="10"/>
        <rFont val="Arial"/>
        <family val="2"/>
      </rPr>
      <t>Enter the total annual salary budgeted by position title, include only wages.</t>
    </r>
  </si>
  <si>
    <r>
      <t>Total</t>
    </r>
    <r>
      <rPr>
        <sz val="10"/>
        <rFont val="Arial"/>
        <family val="2"/>
      </rPr>
      <t>:  No entry necessary, a formula will populate a total.</t>
    </r>
  </si>
  <si>
    <t>Estimated Cost Per Unit</t>
  </si>
  <si>
    <r>
      <t>Inkind Match:</t>
    </r>
    <r>
      <rPr>
        <sz val="10"/>
        <rFont val="Arial"/>
      </rPr>
      <t xml:space="preserve"> (non-cash resources and contributions received and utilized to support services authorized by the OAA) Enter the budgeted inkind match by source for Area Plan Administration, Title III B&amp;C (these may be pooled) and Title III E.  Inkind resources are defined as property or services donated by non-federal third parties to an AAA or its contractors for services authorized by the OAA.</t>
    </r>
  </si>
  <si>
    <t>Budget by Service Category</t>
  </si>
  <si>
    <t>Matrix</t>
  </si>
  <si>
    <t>Comments
Explanation</t>
  </si>
  <si>
    <t>1 center acqrd/renovated</t>
  </si>
  <si>
    <t>Estimated
Units</t>
  </si>
  <si>
    <t>Unit
 Definition</t>
  </si>
  <si>
    <t>1a</t>
  </si>
  <si>
    <t>2a</t>
  </si>
  <si>
    <t>3a</t>
  </si>
  <si>
    <t>Cash Match/In-kind Match</t>
  </si>
  <si>
    <t>Notes/Comments</t>
  </si>
  <si>
    <t>DIRECT SERVICES POSITIONS</t>
  </si>
  <si>
    <t>ADMINISTRATIVE POSITIONS</t>
  </si>
  <si>
    <t>Breakout of funding sources</t>
  </si>
  <si>
    <t>Office Specialist 2</t>
  </si>
  <si>
    <t>Human Services Specialist 3</t>
  </si>
  <si>
    <t>Adult Protective Services Specialist</t>
  </si>
  <si>
    <t>Principal Executive Manager C</t>
  </si>
  <si>
    <r>
      <t>Contract or Direct Provide:</t>
    </r>
    <r>
      <rPr>
        <sz val="10"/>
        <rFont val="Arial"/>
      </rPr>
      <t xml:space="preserve"> Enter "C" if the service is contracted or "D" if the service is provided directly by the AAA.  If the service is both contracted and direct enter, "C/D".</t>
    </r>
  </si>
  <si>
    <r>
      <t>Estimated Persons Served:</t>
    </r>
    <r>
      <rPr>
        <sz val="10"/>
        <rFont val="Arial"/>
      </rPr>
      <t xml:space="preserve"> Enter the estimated number of unduplicated persons you expect to serve.</t>
    </r>
  </si>
  <si>
    <r>
      <t>NSIP:</t>
    </r>
    <r>
      <rPr>
        <sz val="10"/>
        <rFont val="Arial"/>
      </rPr>
      <t xml:space="preserve"> Enter  projected expenditures on the appropriate service line.</t>
    </r>
  </si>
  <si>
    <r>
      <t>Other Cash Funds:</t>
    </r>
    <r>
      <rPr>
        <sz val="10"/>
        <rFont val="Arial"/>
      </rPr>
      <t xml:space="preserve"> Enter projected expenditures (including program income) on the appropriate service line. </t>
    </r>
  </si>
  <si>
    <r>
      <t>OPI:</t>
    </r>
    <r>
      <rPr>
        <sz val="10"/>
        <rFont val="Arial"/>
      </rPr>
      <t xml:space="preserve"> Enter projected expenditures on the appropriate service line.</t>
    </r>
  </si>
  <si>
    <r>
      <t>Comments/Explanation:</t>
    </r>
    <r>
      <rPr>
        <sz val="10"/>
        <rFont val="Arial"/>
      </rPr>
      <t xml:space="preserve"> If needed for clarity, enter the explanation of fund or other services on appropriate service line.</t>
    </r>
  </si>
  <si>
    <t>Contract
or
Direct
Provide</t>
  </si>
  <si>
    <t>Unit
Definition</t>
  </si>
  <si>
    <t>Estimated
Clients</t>
  </si>
  <si>
    <r>
      <t>Total Cash:</t>
    </r>
    <r>
      <rPr>
        <sz val="10"/>
        <rFont val="Arial"/>
      </rPr>
      <t xml:space="preserve"> No entry necessary, a formula will populate a total.</t>
    </r>
  </si>
  <si>
    <r>
      <rPr>
        <b/>
        <sz val="9"/>
        <rFont val="Arial"/>
        <family val="2"/>
      </rPr>
      <t>Medicaid Local Match Source:</t>
    </r>
    <r>
      <rPr>
        <sz val="9"/>
        <rFont val="Arial"/>
        <family val="2"/>
      </rPr>
      <t xml:space="preserve"> Enter description of non-federal source contributing match funds.</t>
    </r>
  </si>
  <si>
    <t>SOURCE OF MEDICAID LOCAL MATCH FUNDS</t>
  </si>
  <si>
    <r>
      <t xml:space="preserve">Position Name:  </t>
    </r>
    <r>
      <rPr>
        <sz val="10"/>
        <rFont val="Arial"/>
        <family val="2"/>
      </rPr>
      <t>Enter all AAA-related position titles (e.g. Executive Director, Case Manager etc. - no names.)</t>
    </r>
  </si>
  <si>
    <r>
      <t xml:space="preserve">Annual OPE:  </t>
    </r>
    <r>
      <rPr>
        <sz val="10"/>
        <rFont val="Arial"/>
        <family val="2"/>
      </rPr>
      <t>Enter the total annual other payroll expenses budgeted by position title.  OPE includes employer costs such as retirement, health insurance, worker compensation insurance etc.</t>
    </r>
  </si>
  <si>
    <r>
      <t xml:space="preserve">FTE :  </t>
    </r>
    <r>
      <rPr>
        <sz val="10"/>
        <rFont val="Arial"/>
        <family val="2"/>
      </rPr>
      <t>Enter the # of FTE per position title.  1.0 FTE = a position funded for 2080 hours per year.</t>
    </r>
  </si>
  <si>
    <t>Pre-Admission Screening</t>
  </si>
  <si>
    <t>Compliance Specialist 2 (AFH Licen.)</t>
  </si>
  <si>
    <t>Area Agency on Aging 
Position Title (if applicable)</t>
  </si>
  <si>
    <t>Admin Specialist 1</t>
  </si>
  <si>
    <t>Principal Executive Manager D</t>
  </si>
  <si>
    <t>Principal Executive Manager E</t>
  </si>
  <si>
    <t>Principal Executive Manager F</t>
  </si>
  <si>
    <t>APD Position Titles</t>
  </si>
  <si>
    <t>(17)</t>
  </si>
  <si>
    <t>Other State-provided Funds</t>
  </si>
  <si>
    <t>Health, Medical &amp; Technical Assistance Equip.</t>
  </si>
  <si>
    <t>Self-Directed Care</t>
  </si>
  <si>
    <t>Caregiver Self-Directed Care</t>
  </si>
  <si>
    <t>Caregiver Self-Directed Care-Serving Children</t>
  </si>
  <si>
    <t>Select AAA Name</t>
  </si>
  <si>
    <t>Select Budget Period</t>
  </si>
  <si>
    <t>BUDGET PERIOD:  7.1.2016 - 6.30.2017  Area Plan Year 1</t>
  </si>
  <si>
    <t>BUDGET PERIOD:  7.1.2017 - 6.30.2018  Area Plan Year 2</t>
  </si>
  <si>
    <t>BUDGET PERIOD:  7.1.2018 - 6.30.2019  Area Plan Year 3</t>
  </si>
  <si>
    <t>BUDGET PERIOD:  7.1.2019 - 6.30.2020  Area Plan Year 4</t>
  </si>
  <si>
    <t>1 session</t>
  </si>
  <si>
    <t>1 loan/payment</t>
  </si>
  <si>
    <r>
      <t xml:space="preserve">SOURCE OF OAA CASH &amp; INKIND MATCH FUNDS
</t>
    </r>
    <r>
      <rPr>
        <b/>
        <sz val="12"/>
        <color indexed="10"/>
        <rFont val="Arial"/>
        <family val="2"/>
      </rPr>
      <t>Be descriptive (e.g. Donated dining space @ SC)</t>
    </r>
  </si>
  <si>
    <t>C</t>
  </si>
  <si>
    <t>Number
of
FTE Vacant</t>
  </si>
  <si>
    <t>Number
 of
FTE Allocated</t>
  </si>
  <si>
    <t>Number 
of
FTE Employed</t>
  </si>
  <si>
    <t>Total Salary
+ OPE</t>
  </si>
  <si>
    <t>Total Salary
 + OPE</t>
  </si>
  <si>
    <t>Community Action Program of East Central Oregon (CAPECO)</t>
  </si>
  <si>
    <t>Community Action Team (CAT)</t>
  </si>
  <si>
    <t>Community Connection of Northeast Oregon (CCNO)</t>
  </si>
  <si>
    <t>Clackamas County Social Services (CCSS)</t>
  </si>
  <si>
    <t>Central Oregon Council on Aging (COCOA)</t>
  </si>
  <si>
    <t>Douglas County Senior Services Division (DCSSD)</t>
  </si>
  <si>
    <t>Harney County Senior &amp; Community Services Center (HCSCS)</t>
  </si>
  <si>
    <t>Klamath &amp; Lake Counties Council on Aging (KLCCOA)</t>
  </si>
  <si>
    <t>Lane Council of Governments Senior &amp; Disabled Services (LCOG)</t>
  </si>
  <si>
    <t>Multnomah County Aging, Disability &amp; Veterans Services Dept (MCADVSD)</t>
  </si>
  <si>
    <t>Mid-Columbia Council of Governments (MCCOG)</t>
  </si>
  <si>
    <t>Malheur Council on Aging &amp; Community Services (MCOACS)</t>
  </si>
  <si>
    <t>NorthWest Senior &amp; Disability Services (NWSDS)</t>
  </si>
  <si>
    <t>Oregon Cascades West Council of Governments Senior &amp; Disabled Srvcs (OCWCOG)</t>
  </si>
  <si>
    <t>Rogue Valley Council of Governments Senior &amp; Disabled Srvcs (RVCOG)</t>
  </si>
  <si>
    <t>South Coast Business Employment Corporation (SCBEC)</t>
  </si>
  <si>
    <t>Washington County Disability, Aging &amp; Veteran Services (WCDAVS)</t>
  </si>
  <si>
    <r>
      <rPr>
        <b/>
        <sz val="14"/>
        <color indexed="10"/>
        <rFont val="Arial"/>
        <family val="2"/>
      </rPr>
      <t>*</t>
    </r>
    <r>
      <rPr>
        <sz val="14"/>
        <rFont val="Arial"/>
        <family val="2"/>
      </rPr>
      <t xml:space="preserve"> Reported in annual 1915(c) waiver report</t>
    </r>
  </si>
  <si>
    <t>ADMINISTRATIVE TOTAL</t>
  </si>
  <si>
    <t>PAGE 1 DIRECT SERVICES TOTAL</t>
  </si>
  <si>
    <t>PAGE 2 DIRECT SERVICES TOTAL</t>
  </si>
  <si>
    <t>Number 
of
FTE
Employed</t>
  </si>
  <si>
    <t>Medicaid/OAA/OPI Staffing Plan</t>
  </si>
  <si>
    <t xml:space="preserve">Allocated Medicaid Staffing               </t>
  </si>
  <si>
    <t>Medicaid Positions 
and Title
(in addition to APD
 allocated positions)</t>
  </si>
  <si>
    <t>This form should only be completed by Type B Area Agencies on Aging.  Please provide the equivalent AAA position title that corresponds with APD position title for which your AAA receives Medicaid funding.</t>
  </si>
  <si>
    <r>
      <t>AAA Position Title:</t>
    </r>
    <r>
      <rPr>
        <sz val="9"/>
        <rFont val="Arial"/>
        <family val="2"/>
      </rPr>
      <t xml:space="preserve"> If position title is different than title APD calls it.</t>
    </r>
  </si>
  <si>
    <r>
      <t xml:space="preserve">Total:  </t>
    </r>
    <r>
      <rPr>
        <sz val="10"/>
        <rFont val="Arial"/>
        <family val="2"/>
      </rPr>
      <t>Formula to auto populate.</t>
    </r>
  </si>
  <si>
    <t>C = Contract
D = Direct 
Provision</t>
  </si>
  <si>
    <r>
      <t xml:space="preserve">OAA: </t>
    </r>
    <r>
      <rPr>
        <sz val="10"/>
        <rFont val="Arial"/>
      </rPr>
      <t>Enter the projected budget for each funding source of OAA by service line. Include both new and when applicable include unspent prior biennial funds in these columns.  Access Services must total at least 18% of your total IIIB budget, In-Home Services must total at least 3% of your total IIIB budget and Legal Services must total at least 3% of your total IIIB budget.  NOTE: Any service with Title IIID funds intended as the funding source must meet the highest criteria for Evidenced-Based programs.</t>
    </r>
  </si>
  <si>
    <r>
      <rPr>
        <b/>
        <sz val="10"/>
        <rFont val="Arial"/>
        <family val="2"/>
      </rPr>
      <t>Other State-provided Funds:</t>
    </r>
    <r>
      <rPr>
        <sz val="10"/>
        <rFont val="Arial"/>
        <family val="2"/>
      </rPr>
      <t xml:space="preserve"> Enter projected expenditures on the appropriate service line.</t>
    </r>
  </si>
  <si>
    <t>8-13</t>
  </si>
  <si>
    <r>
      <t>Name:</t>
    </r>
    <r>
      <rPr>
        <sz val="10"/>
        <rFont val="Arial"/>
      </rPr>
      <t xml:space="preserve"> Select the name of your Area Agency on Aging. </t>
    </r>
  </si>
  <si>
    <r>
      <t xml:space="preserve">Budget Period: </t>
    </r>
    <r>
      <rPr>
        <sz val="10"/>
        <rFont val="Arial"/>
        <family val="2"/>
      </rPr>
      <t>Select FY</t>
    </r>
  </si>
  <si>
    <r>
      <t>Service Unit Definition:</t>
    </r>
    <r>
      <rPr>
        <sz val="10"/>
        <rFont val="Arial"/>
      </rPr>
      <t xml:space="preserve"> Fields entered except for the "900" matrix code.  Describe.</t>
    </r>
  </si>
  <si>
    <r>
      <t>Matrix #:</t>
    </r>
    <r>
      <rPr>
        <sz val="10"/>
        <rFont val="Arial"/>
      </rPr>
      <t xml:space="preserve"> Matrix numbers have been entered for you, refer to </t>
    </r>
    <r>
      <rPr>
        <b/>
        <i/>
        <sz val="10"/>
        <rFont val="Arial"/>
        <family val="2"/>
      </rPr>
      <t>Service Units and Definitions for Older Americans Act and Oregon Project Independence Programs</t>
    </r>
    <r>
      <rPr>
        <sz val="10"/>
        <rFont val="Arial"/>
      </rPr>
      <t xml:space="preserve"> for further information.</t>
    </r>
  </si>
  <si>
    <r>
      <rPr>
        <b/>
        <sz val="10"/>
        <rFont val="Arial"/>
        <family val="2"/>
      </rPr>
      <t>Name:</t>
    </r>
    <r>
      <rPr>
        <sz val="10"/>
        <rFont val="Arial"/>
        <family val="2"/>
      </rPr>
      <t xml:space="preserve"> Auto-populates from Budget page.</t>
    </r>
  </si>
  <si>
    <r>
      <t>Budget Period:</t>
    </r>
    <r>
      <rPr>
        <sz val="10"/>
        <rFont val="Arial"/>
      </rPr>
      <t xml:space="preserve"> Auto-populates from Budget page.</t>
    </r>
  </si>
  <si>
    <r>
      <t xml:space="preserve">Name: </t>
    </r>
    <r>
      <rPr>
        <sz val="10"/>
        <rFont val="Arial"/>
        <family val="2"/>
      </rPr>
      <t>Auto-populates from Budget page.</t>
    </r>
  </si>
  <si>
    <t>5-9</t>
  </si>
  <si>
    <t>Instructions for Cash &amp; In-Kind Match Worksheet</t>
  </si>
  <si>
    <t>Instructions for Medicaid-OAA-OPI Staffing Plan Worksheet</t>
  </si>
  <si>
    <t>Instructions for Allocated Medicaid Staffing Worksheet</t>
  </si>
  <si>
    <t>Instructions for Budget by Service Category Worksheet</t>
  </si>
  <si>
    <t>Area Plan Budget, Worksheet 1</t>
  </si>
  <si>
    <t>Area Plan Budget, Worksheet 2</t>
  </si>
  <si>
    <t>Area Plan Budget, Worksheet 3</t>
  </si>
  <si>
    <t>Area Plan Budget, Worksheet 4</t>
  </si>
  <si>
    <r>
      <t xml:space="preserve">Diversion Case Manager </t>
    </r>
    <r>
      <rPr>
        <b/>
        <sz val="14"/>
        <color indexed="10"/>
        <rFont val="Arial"/>
        <family val="2"/>
      </rPr>
      <t>*</t>
    </r>
  </si>
  <si>
    <t>Human Services Assistant 2</t>
  </si>
  <si>
    <r>
      <t xml:space="preserve">Human Services Case Manager </t>
    </r>
    <r>
      <rPr>
        <b/>
        <sz val="14"/>
        <color indexed="10"/>
        <rFont val="Arial"/>
        <family val="2"/>
      </rPr>
      <t>*</t>
    </r>
  </si>
  <si>
    <r>
      <t xml:space="preserve">Transition Case Manager </t>
    </r>
    <r>
      <rPr>
        <b/>
        <sz val="14"/>
        <color indexed="10"/>
        <rFont val="Arial"/>
        <family val="2"/>
      </rPr>
      <t>*</t>
    </r>
  </si>
  <si>
    <t>Diversion Case Manager</t>
  </si>
  <si>
    <t>Human Services Case Manager</t>
  </si>
  <si>
    <t>Transition Case Manager</t>
  </si>
  <si>
    <r>
      <t>Funding Source/Amount:</t>
    </r>
    <r>
      <rPr>
        <sz val="10"/>
        <rFont val="Arial"/>
        <family val="2"/>
      </rPr>
      <t xml:space="preserve"> Enter the total annual amount budgeted for each funding source used to support position.</t>
    </r>
  </si>
  <si>
    <r>
      <t>Number of FTE Employed:</t>
    </r>
    <r>
      <rPr>
        <sz val="9"/>
        <rFont val="Arial"/>
        <family val="2"/>
      </rPr>
      <t xml:space="preserve">  Enter the # of FTE per position title.  (1.0 FTE = a position funded for 2080 hrs) </t>
    </r>
  </si>
  <si>
    <r>
      <t xml:space="preserve">Any </t>
    </r>
    <r>
      <rPr>
        <b/>
        <sz val="9"/>
        <rFont val="Arial"/>
        <family val="2"/>
      </rPr>
      <t>Medicaid</t>
    </r>
    <r>
      <rPr>
        <b/>
        <i/>
        <sz val="9"/>
        <rFont val="Arial"/>
        <family val="2"/>
      </rPr>
      <t xml:space="preserve"> positions in addition</t>
    </r>
    <r>
      <rPr>
        <b/>
        <sz val="9"/>
        <rFont val="Arial"/>
        <family val="2"/>
      </rPr>
      <t xml:space="preserve"> to the APD allocated positions</t>
    </r>
    <r>
      <rPr>
        <sz val="9"/>
        <rFont val="Arial"/>
        <family val="2"/>
      </rPr>
      <t xml:space="preserve"> are to be entered here and the FTE for that position in column 6 to the right of the position title.</t>
    </r>
  </si>
  <si>
    <t>5-6</t>
  </si>
  <si>
    <t>Multnomah County General Fund</t>
  </si>
  <si>
    <t>City of Fairview</t>
  </si>
  <si>
    <t>City of Troutdale</t>
  </si>
  <si>
    <t>Program income-contracts</t>
  </si>
  <si>
    <t>Contacts (inkind)</t>
  </si>
  <si>
    <t>Mult County General Fund Match</t>
  </si>
  <si>
    <t>Local Fees</t>
  </si>
  <si>
    <t>local source</t>
  </si>
  <si>
    <t>IT-computer</t>
  </si>
  <si>
    <t xml:space="preserve">lease revenue-senior ctr </t>
  </si>
  <si>
    <t>State funds</t>
  </si>
  <si>
    <t>Clinical Services Specialist , Human Services Investigator</t>
  </si>
  <si>
    <t>Program Specialist; Program Tech</t>
  </si>
  <si>
    <t>Case Manager Sr (Mid LTC 713403;713402</t>
  </si>
  <si>
    <t>Case Managment Assistant</t>
  </si>
  <si>
    <t>Case Manager Sr,  and CM2 and CM1</t>
  </si>
  <si>
    <t>Case Manager 1, Eligibility Specialist</t>
  </si>
  <si>
    <t>Office Assistant Sr, Office Assistant 2</t>
  </si>
  <si>
    <t>Community Health Nurse</t>
  </si>
  <si>
    <t>Program Manager Senior</t>
  </si>
  <si>
    <t>Deputy Director</t>
  </si>
  <si>
    <t>Division Director 2</t>
  </si>
  <si>
    <t>CM Sr</t>
  </si>
  <si>
    <t>Program Supervisor</t>
  </si>
  <si>
    <t>Principal Executive Manager B</t>
  </si>
  <si>
    <t>Principal Executive Manager A</t>
  </si>
  <si>
    <t>Program Manager 1; Program Manager 2</t>
  </si>
  <si>
    <t xml:space="preserve">Administrative Analyst, </t>
  </si>
  <si>
    <t>Admin Analyst Sr</t>
  </si>
  <si>
    <t>Program Tech</t>
  </si>
  <si>
    <t>APD Specialist</t>
  </si>
  <si>
    <t>Preadmission Screener</t>
  </si>
  <si>
    <t>-</t>
  </si>
  <si>
    <t>C &amp; D</t>
  </si>
  <si>
    <t>D</t>
  </si>
  <si>
    <t>Crime Prevention/Home Safety</t>
  </si>
  <si>
    <t>60-1</t>
  </si>
  <si>
    <t xml:space="preserve">First year of grant. Expecting higher administrative costs. </t>
  </si>
  <si>
    <t>See in-kind</t>
  </si>
</sst>
</file>

<file path=xl/styles.xml><?xml version="1.0" encoding="utf-8"?>
<styleSheet xmlns="http://schemas.openxmlformats.org/spreadsheetml/2006/main">
  <numFmts count="5">
    <numFmt numFmtId="43" formatCode="_(* #,##0.00_);_(* \(#,##0.00\);_(* &quot;-&quot;??_);_(@_)"/>
    <numFmt numFmtId="164" formatCode="&quot;$&quot;#,##0"/>
    <numFmt numFmtId="165" formatCode="&quot;$&quot;#,##0.00"/>
    <numFmt numFmtId="166" formatCode="000"/>
    <numFmt numFmtId="167" formatCode="_(* #,##0_);_(* \(#,##0\);_(* &quot;-&quot;??_);_(@_)"/>
  </numFmts>
  <fonts count="38">
    <font>
      <sz val="9"/>
      <name val="Arial"/>
    </font>
    <font>
      <sz val="10"/>
      <name val="Arial"/>
    </font>
    <font>
      <sz val="9"/>
      <name val="Arial"/>
      <family val="2"/>
    </font>
    <font>
      <b/>
      <sz val="10"/>
      <name val="Arial"/>
      <family val="2"/>
    </font>
    <font>
      <sz val="8"/>
      <name val="Arial"/>
      <family val="2"/>
    </font>
    <font>
      <b/>
      <sz val="10"/>
      <name val="Arial"/>
      <family val="2"/>
    </font>
    <font>
      <b/>
      <sz val="11"/>
      <name val="Arial"/>
      <family val="2"/>
    </font>
    <font>
      <b/>
      <sz val="9"/>
      <name val="Arial"/>
      <family val="2"/>
    </font>
    <font>
      <sz val="10"/>
      <name val="Arial"/>
      <family val="2"/>
    </font>
    <font>
      <sz val="8"/>
      <name val="Arial"/>
      <family val="2"/>
    </font>
    <font>
      <sz val="8"/>
      <color indexed="81"/>
      <name val="Tahoma"/>
      <family val="2"/>
    </font>
    <font>
      <b/>
      <sz val="8"/>
      <color indexed="81"/>
      <name val="Tahoma"/>
      <family val="2"/>
    </font>
    <font>
      <b/>
      <sz val="12"/>
      <name val="Arial"/>
      <family val="2"/>
    </font>
    <font>
      <sz val="12"/>
      <name val="Arial"/>
      <family val="2"/>
    </font>
    <font>
      <sz val="12"/>
      <color indexed="55"/>
      <name val="Arial"/>
      <family val="2"/>
    </font>
    <font>
      <sz val="12"/>
      <name val="Arial Narrow"/>
      <family val="2"/>
    </font>
    <font>
      <sz val="11"/>
      <name val="Arial Narrow"/>
      <family val="2"/>
    </font>
    <font>
      <b/>
      <sz val="11"/>
      <name val="Arial Narrow"/>
      <family val="2"/>
    </font>
    <font>
      <b/>
      <sz val="14"/>
      <name val="Arial"/>
      <family val="2"/>
    </font>
    <font>
      <sz val="14"/>
      <name val="Arial"/>
      <family val="2"/>
    </font>
    <font>
      <sz val="14"/>
      <name val="Arial Narrow"/>
      <family val="2"/>
    </font>
    <font>
      <strike/>
      <sz val="14"/>
      <name val="Arial Narrow"/>
      <family val="2"/>
    </font>
    <font>
      <sz val="18"/>
      <name val="Arial"/>
      <family val="2"/>
    </font>
    <font>
      <b/>
      <sz val="24"/>
      <name val="Arial"/>
      <family val="2"/>
    </font>
    <font>
      <b/>
      <sz val="12"/>
      <color indexed="10"/>
      <name val="Arial"/>
      <family val="2"/>
    </font>
    <font>
      <b/>
      <sz val="14"/>
      <color indexed="10"/>
      <name val="Arial"/>
      <family val="2"/>
    </font>
    <font>
      <b/>
      <sz val="16"/>
      <color indexed="10"/>
      <name val="Tahoma"/>
      <family val="2"/>
    </font>
    <font>
      <b/>
      <i/>
      <sz val="9"/>
      <name val="Arial"/>
      <family val="2"/>
    </font>
    <font>
      <b/>
      <i/>
      <sz val="10"/>
      <name val="Arial"/>
      <family val="2"/>
    </font>
    <font>
      <sz val="11"/>
      <name val="Arial"/>
      <family val="2"/>
    </font>
    <font>
      <b/>
      <sz val="12"/>
      <color indexed="16"/>
      <name val="Arial"/>
      <family val="2"/>
    </font>
    <font>
      <b/>
      <sz val="14"/>
      <color rgb="FFFF0000"/>
      <name val="Arial"/>
      <family val="2"/>
    </font>
    <font>
      <sz val="11"/>
      <color rgb="FF000000"/>
      <name val="Calibri"/>
      <family val="2"/>
      <scheme val="minor"/>
    </font>
    <font>
      <sz val="12"/>
      <color rgb="FF0000FF"/>
      <name val="Arial"/>
      <family val="2"/>
    </font>
    <font>
      <b/>
      <sz val="12"/>
      <color rgb="FF0033CC"/>
      <name val="Arial"/>
      <family val="2"/>
    </font>
    <font>
      <b/>
      <sz val="12"/>
      <color rgb="FF0000FF"/>
      <name val="Arial"/>
      <family val="2"/>
    </font>
    <font>
      <sz val="12"/>
      <color theme="1"/>
      <name val="Arial"/>
      <family val="2"/>
    </font>
    <font>
      <sz val="11"/>
      <color theme="1"/>
      <name val="Arial Narrow"/>
      <family val="2"/>
    </font>
  </fonts>
  <fills count="1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65"/>
        <bgColor indexed="64"/>
      </patternFill>
    </fill>
    <fill>
      <patternFill patternType="solid">
        <fgColor indexed="45"/>
        <bgColor indexed="64"/>
      </patternFill>
    </fill>
    <fill>
      <patternFill patternType="solid">
        <fgColor indexed="44"/>
        <bgColor indexed="64"/>
      </patternFill>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3FFFF"/>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ck">
        <color indexed="64"/>
      </right>
      <top style="thin">
        <color indexed="64"/>
      </top>
      <bottom style="thin">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right style="thin">
        <color indexed="64"/>
      </right>
      <top/>
      <bottom style="thick">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ck">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thick">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top style="thick">
        <color indexed="64"/>
      </top>
      <bottom style="thin">
        <color indexed="64"/>
      </bottom>
      <diagonal/>
    </border>
    <border>
      <left style="medium">
        <color indexed="64"/>
      </left>
      <right/>
      <top/>
      <bottom/>
      <diagonal/>
    </border>
    <border>
      <left style="thin">
        <color indexed="64"/>
      </left>
      <right/>
      <top/>
      <bottom style="thick">
        <color indexed="64"/>
      </bottom>
      <diagonal/>
    </border>
    <border>
      <left style="medium">
        <color indexed="64"/>
      </left>
      <right/>
      <top style="thin">
        <color indexed="64"/>
      </top>
      <bottom/>
      <diagonal/>
    </border>
    <border>
      <left style="medium">
        <color indexed="64"/>
      </left>
      <right/>
      <top/>
      <bottom style="medium">
        <color indexed="64"/>
      </bottom>
      <diagonal/>
    </border>
  </borders>
  <cellStyleXfs count="8">
    <xf numFmtId="0" fontId="0" fillId="0" borderId="0">
      <alignment vertical="top"/>
    </xf>
    <xf numFmtId="40" fontId="2" fillId="0" borderId="0" applyFont="0" applyFill="0" applyBorder="0" applyAlignment="0" applyProtection="0"/>
    <xf numFmtId="43" fontId="8" fillId="0" borderId="0" applyFont="0" applyFill="0" applyBorder="0" applyAlignment="0" applyProtection="0"/>
    <xf numFmtId="0" fontId="2" fillId="0" borderId="0">
      <alignment vertical="top"/>
    </xf>
    <xf numFmtId="0" fontId="8" fillId="0" borderId="0"/>
    <xf numFmtId="0" fontId="32" fillId="0" borderId="0"/>
    <xf numFmtId="0" fontId="8" fillId="0" borderId="0"/>
    <xf numFmtId="0" fontId="1" fillId="0" borderId="0"/>
  </cellStyleXfs>
  <cellXfs count="459">
    <xf numFmtId="0" fontId="0" fillId="0" borderId="0" xfId="0">
      <alignment vertical="top"/>
    </xf>
    <xf numFmtId="0" fontId="5" fillId="0" borderId="0" xfId="7" applyFont="1" applyAlignment="1" applyProtection="1">
      <protection locked="0"/>
    </xf>
    <xf numFmtId="0" fontId="1" fillId="0" borderId="0" xfId="7" applyProtection="1">
      <protection locked="0"/>
    </xf>
    <xf numFmtId="0" fontId="9" fillId="0" borderId="0" xfId="7" applyFont="1" applyAlignment="1" applyProtection="1">
      <alignment horizontal="center"/>
      <protection locked="0"/>
    </xf>
    <xf numFmtId="0" fontId="4" fillId="0" borderId="0" xfId="7" applyFont="1" applyAlignment="1" applyProtection="1">
      <alignment horizontal="center"/>
      <protection locked="0"/>
    </xf>
    <xf numFmtId="0" fontId="0" fillId="0" borderId="0" xfId="0" applyBorder="1" applyAlignment="1">
      <alignment horizontal="center" vertical="top"/>
    </xf>
    <xf numFmtId="0" fontId="0" fillId="0" borderId="0" xfId="0" applyBorder="1" applyAlignment="1">
      <alignment vertical="top" wrapText="1"/>
    </xf>
    <xf numFmtId="0" fontId="1" fillId="0" borderId="1" xfId="0" applyFont="1" applyBorder="1" applyAlignment="1">
      <alignment horizontal="center" vertical="center"/>
    </xf>
    <xf numFmtId="0" fontId="3" fillId="0" borderId="1" xfId="0" applyFont="1" applyBorder="1" applyAlignment="1">
      <alignment vertical="top" wrapText="1"/>
    </xf>
    <xf numFmtId="0" fontId="5" fillId="0" borderId="1" xfId="0" applyFont="1" applyBorder="1" applyAlignment="1">
      <alignment vertical="top" wrapText="1"/>
    </xf>
    <xf numFmtId="0" fontId="0" fillId="0" borderId="0" xfId="0" applyBorder="1">
      <alignment vertical="top"/>
    </xf>
    <xf numFmtId="164" fontId="13" fillId="0" borderId="0" xfId="0" applyNumberFormat="1" applyFont="1" applyProtection="1">
      <alignment vertical="top"/>
      <protection locked="0"/>
    </xf>
    <xf numFmtId="164" fontId="13" fillId="0" borderId="0" xfId="0" applyNumberFormat="1" applyFont="1" applyFill="1" applyProtection="1">
      <alignment vertical="top"/>
      <protection locked="0"/>
    </xf>
    <xf numFmtId="165" fontId="13" fillId="0" borderId="0" xfId="0" applyNumberFormat="1" applyFont="1" applyProtection="1">
      <alignment vertical="top"/>
      <protection locked="0"/>
    </xf>
    <xf numFmtId="0" fontId="13" fillId="0" borderId="0" xfId="0" applyFont="1" applyProtection="1">
      <alignment vertical="top"/>
      <protection locked="0"/>
    </xf>
    <xf numFmtId="0" fontId="13" fillId="0" borderId="0" xfId="0" applyFont="1" applyBorder="1" applyProtection="1">
      <alignment vertical="top"/>
      <protection locked="0"/>
    </xf>
    <xf numFmtId="0" fontId="13" fillId="0" borderId="0" xfId="0" applyFont="1" applyFill="1" applyBorder="1" applyAlignment="1" applyProtection="1">
      <alignment horizontal="center"/>
      <protection locked="0"/>
    </xf>
    <xf numFmtId="0" fontId="13" fillId="0" borderId="0" xfId="0" applyFont="1" applyFill="1" applyBorder="1" applyProtection="1">
      <alignment vertical="top"/>
      <protection locked="0"/>
    </xf>
    <xf numFmtId="0" fontId="13" fillId="0" borderId="0" xfId="0" applyFont="1" applyFill="1" applyAlignment="1" applyProtection="1">
      <alignment horizontal="center" vertical="top"/>
      <protection locked="0"/>
    </xf>
    <xf numFmtId="0" fontId="13" fillId="2" borderId="2" xfId="0" applyFont="1" applyFill="1" applyBorder="1" applyAlignment="1" applyProtection="1">
      <alignment horizontal="center"/>
      <protection locked="0"/>
    </xf>
    <xf numFmtId="0" fontId="13" fillId="2" borderId="2" xfId="0" applyFont="1" applyFill="1" applyBorder="1" applyProtection="1">
      <alignment vertical="top"/>
      <protection locked="0"/>
    </xf>
    <xf numFmtId="0" fontId="13" fillId="2" borderId="3" xfId="0" applyFont="1" applyFill="1" applyBorder="1" applyAlignment="1" applyProtection="1">
      <alignment horizontal="center" vertical="top"/>
      <protection locked="0"/>
    </xf>
    <xf numFmtId="164" fontId="12" fillId="3" borderId="4" xfId="0" applyNumberFormat="1" applyFont="1" applyFill="1" applyBorder="1" applyProtection="1">
      <alignment vertical="top"/>
    </xf>
    <xf numFmtId="164" fontId="12" fillId="3" borderId="5" xfId="0" applyNumberFormat="1" applyFont="1" applyFill="1" applyBorder="1" applyProtection="1">
      <alignment vertical="top"/>
    </xf>
    <xf numFmtId="164" fontId="12" fillId="3" borderId="6" xfId="0" applyNumberFormat="1" applyFont="1" applyFill="1" applyBorder="1" applyProtection="1">
      <alignment vertical="top"/>
    </xf>
    <xf numFmtId="165" fontId="13" fillId="3" borderId="7" xfId="0" applyNumberFormat="1" applyFont="1" applyFill="1" applyBorder="1" applyProtection="1">
      <alignment vertical="top"/>
    </xf>
    <xf numFmtId="3" fontId="13" fillId="0" borderId="8" xfId="0" quotePrefix="1" applyNumberFormat="1" applyFont="1" applyBorder="1" applyAlignment="1" applyProtection="1">
      <alignment horizontal="left"/>
    </xf>
    <xf numFmtId="164" fontId="13" fillId="0" borderId="7" xfId="0" applyNumberFormat="1" applyFont="1" applyBorder="1" applyProtection="1">
      <alignment vertical="top"/>
      <protection locked="0"/>
    </xf>
    <xf numFmtId="164" fontId="13" fillId="0" borderId="9" xfId="0" applyNumberFormat="1" applyFont="1" applyBorder="1" applyProtection="1">
      <alignment vertical="top"/>
    </xf>
    <xf numFmtId="164" fontId="13" fillId="0" borderId="10" xfId="0" applyNumberFormat="1" applyFont="1" applyBorder="1" applyProtection="1">
      <alignment vertical="top"/>
      <protection locked="0"/>
    </xf>
    <xf numFmtId="164" fontId="13" fillId="0" borderId="1" xfId="0" applyNumberFormat="1" applyFont="1" applyBorder="1" applyProtection="1">
      <alignment vertical="top"/>
      <protection locked="0"/>
    </xf>
    <xf numFmtId="164" fontId="12" fillId="0" borderId="1" xfId="0" applyNumberFormat="1" applyFont="1" applyFill="1" applyBorder="1" applyProtection="1">
      <alignment vertical="top"/>
    </xf>
    <xf numFmtId="165" fontId="14" fillId="3" borderId="1" xfId="0" applyNumberFormat="1" applyFont="1" applyFill="1" applyBorder="1" applyProtection="1">
      <alignment vertical="top"/>
    </xf>
    <xf numFmtId="3" fontId="13" fillId="0" borderId="11" xfId="0" applyNumberFormat="1" applyFont="1" applyBorder="1" applyAlignment="1" applyProtection="1"/>
    <xf numFmtId="164" fontId="13" fillId="0" borderId="1" xfId="0" applyNumberFormat="1" applyFont="1" applyFill="1" applyBorder="1" applyProtection="1">
      <alignment vertical="top"/>
      <protection locked="0"/>
    </xf>
    <xf numFmtId="164" fontId="13" fillId="0" borderId="12" xfId="0" applyNumberFormat="1" applyFont="1" applyBorder="1" applyProtection="1">
      <alignment vertical="top"/>
    </xf>
    <xf numFmtId="164" fontId="13" fillId="0" borderId="10" xfId="0" applyNumberFormat="1" applyFont="1" applyFill="1" applyBorder="1" applyProtection="1">
      <alignment vertical="top"/>
      <protection locked="0"/>
    </xf>
    <xf numFmtId="3" fontId="13" fillId="0" borderId="13" xfId="0" applyNumberFormat="1" applyFont="1" applyBorder="1" applyAlignment="1" applyProtection="1">
      <alignment horizontal="left"/>
    </xf>
    <xf numFmtId="164" fontId="13" fillId="0" borderId="14" xfId="0" applyNumberFormat="1" applyFont="1" applyFill="1" applyBorder="1" applyProtection="1">
      <alignment vertical="top"/>
      <protection locked="0"/>
    </xf>
    <xf numFmtId="164" fontId="13" fillId="0" borderId="15" xfId="0" applyNumberFormat="1" applyFont="1" applyBorder="1" applyProtection="1">
      <alignment vertical="top"/>
    </xf>
    <xf numFmtId="164" fontId="13" fillId="0" borderId="16" xfId="0" applyNumberFormat="1" applyFont="1" applyFill="1" applyBorder="1" applyProtection="1">
      <alignment vertical="top"/>
      <protection locked="0"/>
    </xf>
    <xf numFmtId="165" fontId="14" fillId="3" borderId="14" xfId="0" applyNumberFormat="1" applyFont="1" applyFill="1" applyBorder="1" applyProtection="1">
      <alignment vertical="top"/>
    </xf>
    <xf numFmtId="0" fontId="13" fillId="2" borderId="0" xfId="0" applyFont="1" applyFill="1" applyBorder="1" applyAlignment="1" applyProtection="1">
      <alignment horizontal="center"/>
      <protection locked="0"/>
    </xf>
    <xf numFmtId="0" fontId="13" fillId="2" borderId="0" xfId="0" applyFont="1" applyFill="1" applyBorder="1" applyProtection="1">
      <alignment vertical="top"/>
      <protection locked="0"/>
    </xf>
    <xf numFmtId="0" fontId="13" fillId="2" borderId="0" xfId="0" applyFont="1" applyFill="1" applyBorder="1" applyAlignment="1" applyProtection="1">
      <alignment horizontal="center" vertical="top"/>
      <protection locked="0"/>
    </xf>
    <xf numFmtId="165" fontId="13" fillId="3" borderId="1" xfId="0" applyNumberFormat="1" applyFont="1" applyFill="1" applyBorder="1" applyProtection="1">
      <alignment vertical="top"/>
    </xf>
    <xf numFmtId="3" fontId="13" fillId="0" borderId="8" xfId="0" applyNumberFormat="1" applyFont="1" applyBorder="1" applyAlignment="1" applyProtection="1"/>
    <xf numFmtId="164" fontId="13" fillId="0" borderId="17" xfId="0" applyNumberFormat="1" applyFont="1" applyFill="1" applyBorder="1" applyProtection="1">
      <alignment vertical="top"/>
      <protection locked="0"/>
    </xf>
    <xf numFmtId="164" fontId="13" fillId="0" borderId="7" xfId="0" applyNumberFormat="1" applyFont="1" applyFill="1" applyBorder="1" applyProtection="1">
      <alignment vertical="top"/>
      <protection locked="0"/>
    </xf>
    <xf numFmtId="164" fontId="13" fillId="0" borderId="9" xfId="0" applyNumberFormat="1" applyFont="1" applyFill="1" applyBorder="1" applyProtection="1">
      <alignment vertical="top"/>
    </xf>
    <xf numFmtId="165" fontId="13" fillId="0" borderId="1" xfId="0" applyNumberFormat="1" applyFont="1" applyBorder="1" applyProtection="1">
      <alignment vertical="top"/>
    </xf>
    <xf numFmtId="3" fontId="13" fillId="0" borderId="11" xfId="0" quotePrefix="1" applyNumberFormat="1" applyFont="1" applyBorder="1" applyAlignment="1" applyProtection="1">
      <alignment horizontal="left"/>
    </xf>
    <xf numFmtId="164" fontId="13" fillId="0" borderId="12" xfId="0" applyNumberFormat="1" applyFont="1" applyFill="1" applyBorder="1" applyProtection="1">
      <alignment vertical="top"/>
    </xf>
    <xf numFmtId="0" fontId="13" fillId="0" borderId="11" xfId="0" applyFont="1" applyBorder="1" applyAlignment="1" applyProtection="1"/>
    <xf numFmtId="0" fontId="13" fillId="0" borderId="8" xfId="0" applyFont="1" applyBorder="1" applyAlignment="1" applyProtection="1"/>
    <xf numFmtId="0" fontId="13" fillId="0" borderId="18" xfId="0" applyFont="1" applyBorder="1" applyAlignment="1" applyProtection="1"/>
    <xf numFmtId="0" fontId="13" fillId="0" borderId="14" xfId="0" applyFont="1" applyFill="1" applyBorder="1" applyAlignment="1" applyProtection="1">
      <alignment horizontal="center"/>
      <protection locked="0"/>
    </xf>
    <xf numFmtId="164" fontId="13" fillId="0" borderId="15" xfId="0" applyNumberFormat="1" applyFont="1" applyFill="1" applyBorder="1" applyProtection="1">
      <alignment vertical="top"/>
    </xf>
    <xf numFmtId="165" fontId="13" fillId="0" borderId="14" xfId="0" applyNumberFormat="1" applyFont="1" applyBorder="1" applyProtection="1">
      <alignment vertical="top"/>
    </xf>
    <xf numFmtId="164" fontId="12" fillId="3" borderId="21" xfId="0" applyNumberFormat="1" applyFont="1" applyFill="1" applyBorder="1" applyProtection="1">
      <alignment vertical="top"/>
    </xf>
    <xf numFmtId="164" fontId="12" fillId="3" borderId="22" xfId="0" applyNumberFormat="1" applyFont="1" applyFill="1" applyBorder="1" applyProtection="1">
      <alignment vertical="top"/>
    </xf>
    <xf numFmtId="164" fontId="12" fillId="3" borderId="23" xfId="0" applyNumberFormat="1" applyFont="1" applyFill="1" applyBorder="1" applyProtection="1">
      <alignment vertical="top"/>
    </xf>
    <xf numFmtId="165" fontId="13" fillId="3" borderId="24" xfId="0" applyNumberFormat="1" applyFont="1" applyFill="1" applyBorder="1" applyProtection="1">
      <alignment vertical="top"/>
    </xf>
    <xf numFmtId="3" fontId="13" fillId="0" borderId="13" xfId="0" applyNumberFormat="1" applyFont="1" applyBorder="1" applyAlignment="1" applyProtection="1"/>
    <xf numFmtId="164" fontId="13" fillId="0" borderId="4" xfId="0" applyNumberFormat="1" applyFont="1" applyFill="1" applyBorder="1" applyProtection="1">
      <alignment vertical="top"/>
      <protection locked="0"/>
    </xf>
    <xf numFmtId="164" fontId="13" fillId="0" borderId="5" xfId="0" applyNumberFormat="1" applyFont="1" applyFill="1" applyBorder="1" applyProtection="1">
      <alignment vertical="top"/>
      <protection locked="0"/>
    </xf>
    <xf numFmtId="164" fontId="13" fillId="0" borderId="6" xfId="0" applyNumberFormat="1" applyFont="1" applyFill="1" applyBorder="1" applyProtection="1">
      <alignment vertical="top"/>
    </xf>
    <xf numFmtId="164" fontId="13" fillId="0" borderId="17" xfId="0" applyNumberFormat="1" applyFont="1" applyBorder="1" applyProtection="1">
      <alignment vertical="top"/>
      <protection locked="0"/>
    </xf>
    <xf numFmtId="3" fontId="13" fillId="0" borderId="11" xfId="0" applyNumberFormat="1" applyFont="1" applyBorder="1" applyAlignment="1" applyProtection="1">
      <alignment horizontal="left"/>
    </xf>
    <xf numFmtId="0" fontId="13" fillId="2" borderId="11" xfId="0" applyFont="1" applyFill="1" applyBorder="1" applyAlignment="1" applyProtection="1">
      <alignment horizontal="center"/>
      <protection locked="0"/>
    </xf>
    <xf numFmtId="0" fontId="13" fillId="0" borderId="11" xfId="0" quotePrefix="1" applyFont="1" applyBorder="1" applyAlignment="1" applyProtection="1">
      <alignment horizontal="left"/>
    </xf>
    <xf numFmtId="164" fontId="13" fillId="0" borderId="26" xfId="0" applyNumberFormat="1" applyFont="1" applyFill="1" applyBorder="1" applyProtection="1">
      <alignment vertical="top"/>
      <protection locked="0"/>
    </xf>
    <xf numFmtId="164" fontId="13" fillId="0" borderId="24" xfId="0" applyNumberFormat="1" applyFont="1" applyFill="1" applyBorder="1" applyProtection="1">
      <alignment vertical="top"/>
      <protection locked="0"/>
    </xf>
    <xf numFmtId="164" fontId="13" fillId="0" borderId="27" xfId="0" applyNumberFormat="1" applyFont="1" applyFill="1" applyBorder="1" applyProtection="1">
      <alignment vertical="top"/>
    </xf>
    <xf numFmtId="165" fontId="13" fillId="0" borderId="24" xfId="0" applyNumberFormat="1" applyFont="1" applyBorder="1" applyProtection="1">
      <alignment vertical="top"/>
    </xf>
    <xf numFmtId="3" fontId="13" fillId="0" borderId="8" xfId="0" applyNumberFormat="1" applyFont="1" applyBorder="1" applyAlignment="1" applyProtection="1">
      <protection locked="0"/>
    </xf>
    <xf numFmtId="3" fontId="13" fillId="0" borderId="0" xfId="0" applyNumberFormat="1" applyFont="1" applyBorder="1" applyAlignment="1" applyProtection="1">
      <protection locked="0"/>
    </xf>
    <xf numFmtId="164" fontId="13" fillId="0" borderId="29" xfId="0" applyNumberFormat="1" applyFont="1" applyBorder="1" applyProtection="1">
      <alignment vertical="top"/>
      <protection locked="0"/>
    </xf>
    <xf numFmtId="164" fontId="13" fillId="0" borderId="30" xfId="0" applyNumberFormat="1" applyFont="1" applyBorder="1" applyProtection="1">
      <alignment vertical="top"/>
      <protection locked="0"/>
    </xf>
    <xf numFmtId="164" fontId="13" fillId="0" borderId="28" xfId="0" applyNumberFormat="1" applyFont="1" applyBorder="1" applyProtection="1">
      <alignment vertical="top"/>
    </xf>
    <xf numFmtId="164" fontId="12" fillId="0" borderId="30" xfId="0" applyNumberFormat="1" applyFont="1" applyFill="1" applyBorder="1" applyProtection="1">
      <alignment vertical="top"/>
    </xf>
    <xf numFmtId="165" fontId="13" fillId="0" borderId="30" xfId="0" applyNumberFormat="1" applyFont="1" applyBorder="1" applyProtection="1">
      <alignment vertical="top"/>
    </xf>
    <xf numFmtId="164" fontId="12" fillId="4" borderId="31" xfId="0" applyNumberFormat="1" applyFont="1" applyFill="1" applyBorder="1" applyProtection="1">
      <alignment vertical="top"/>
    </xf>
    <xf numFmtId="165" fontId="13" fillId="0" borderId="32" xfId="0" applyNumberFormat="1" applyFont="1" applyBorder="1" applyProtection="1">
      <alignment vertical="top"/>
    </xf>
    <xf numFmtId="0" fontId="13" fillId="0" borderId="33" xfId="0" applyFont="1" applyBorder="1" applyAlignment="1" applyProtection="1">
      <alignment vertical="top" wrapText="1"/>
      <protection locked="0"/>
    </xf>
    <xf numFmtId="0" fontId="13" fillId="0" borderId="0" xfId="0" applyFont="1" applyBorder="1" applyAlignment="1" applyProtection="1">
      <protection locked="0"/>
    </xf>
    <xf numFmtId="0" fontId="13" fillId="0" borderId="0" xfId="0" applyFont="1" applyFill="1" applyBorder="1" applyAlignment="1" applyProtection="1">
      <alignment horizontal="center" vertical="top"/>
      <protection locked="0"/>
    </xf>
    <xf numFmtId="164" fontId="13" fillId="0" borderId="0" xfId="0" applyNumberFormat="1" applyFont="1" applyFill="1" applyBorder="1" applyProtection="1">
      <alignment vertical="top"/>
      <protection locked="0"/>
    </xf>
    <xf numFmtId="0" fontId="13" fillId="0" borderId="0" xfId="0" applyFont="1" applyAlignment="1" applyProtection="1">
      <alignment vertical="top" wrapText="1"/>
      <protection locked="0"/>
    </xf>
    <xf numFmtId="9" fontId="13" fillId="0" borderId="0" xfId="0" applyNumberFormat="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164" fontId="13" fillId="0" borderId="0" xfId="0" applyNumberFormat="1" applyFont="1" applyBorder="1" applyProtection="1">
      <alignment vertical="top"/>
      <protection locked="0"/>
    </xf>
    <xf numFmtId="3" fontId="13" fillId="0" borderId="0" xfId="0" quotePrefix="1" applyNumberFormat="1" applyFont="1" applyBorder="1" applyAlignment="1" applyProtection="1">
      <alignment horizontal="left"/>
      <protection locked="0"/>
    </xf>
    <xf numFmtId="0" fontId="13" fillId="0" borderId="0" xfId="0" quotePrefix="1" applyFont="1" applyBorder="1" applyAlignment="1" applyProtection="1">
      <alignment horizontal="left"/>
      <protection locked="0"/>
    </xf>
    <xf numFmtId="3" fontId="13" fillId="0" borderId="0" xfId="0" applyNumberFormat="1" applyFont="1" applyFill="1" applyBorder="1" applyAlignment="1" applyProtection="1">
      <alignment horizontal="center"/>
      <protection locked="0"/>
    </xf>
    <xf numFmtId="0" fontId="13" fillId="0" borderId="0" xfId="0" applyFont="1" applyBorder="1" applyAlignment="1" applyProtection="1">
      <alignment vertical="top"/>
      <protection locked="0"/>
    </xf>
    <xf numFmtId="3" fontId="13" fillId="0" borderId="0" xfId="0" quotePrefix="1" applyNumberFormat="1" applyFont="1" applyFill="1" applyBorder="1" applyAlignment="1" applyProtection="1">
      <alignment horizontal="center"/>
      <protection locked="0"/>
    </xf>
    <xf numFmtId="3" fontId="13" fillId="0" borderId="0" xfId="0" applyNumberFormat="1" applyFont="1" applyFill="1" applyBorder="1" applyAlignment="1" applyProtection="1">
      <alignment horizontal="left"/>
      <protection locked="0"/>
    </xf>
    <xf numFmtId="0" fontId="13" fillId="0" borderId="0" xfId="0" applyFont="1" applyFill="1" applyProtection="1">
      <alignment vertical="top"/>
      <protection locked="0"/>
    </xf>
    <xf numFmtId="0" fontId="15" fillId="0" borderId="1" xfId="0" applyFont="1" applyFill="1" applyBorder="1" applyAlignment="1" applyProtection="1"/>
    <xf numFmtId="0" fontId="16" fillId="0" borderId="1" xfId="0" applyFont="1" applyFill="1" applyBorder="1" applyAlignment="1" applyProtection="1"/>
    <xf numFmtId="0" fontId="16" fillId="0" borderId="14" xfId="0" applyFont="1" applyFill="1" applyBorder="1" applyAlignment="1" applyProtection="1"/>
    <xf numFmtId="0" fontId="16" fillId="2" borderId="0" xfId="0" applyFont="1" applyFill="1" applyBorder="1" applyAlignment="1" applyProtection="1">
      <protection locked="0"/>
    </xf>
    <xf numFmtId="0" fontId="16" fillId="2" borderId="11" xfId="0" applyFont="1" applyFill="1" applyBorder="1" applyAlignment="1" applyProtection="1">
      <protection locked="0"/>
    </xf>
    <xf numFmtId="0" fontId="16" fillId="0" borderId="1" xfId="0" applyFont="1" applyFill="1" applyBorder="1" applyAlignment="1" applyProtection="1">
      <protection locked="0"/>
    </xf>
    <xf numFmtId="0" fontId="16" fillId="0" borderId="30" xfId="0" applyFont="1" applyFill="1" applyBorder="1" applyAlignment="1" applyProtection="1">
      <protection locked="0"/>
    </xf>
    <xf numFmtId="0" fontId="12" fillId="2" borderId="2" xfId="0" applyFont="1" applyFill="1" applyBorder="1" applyAlignment="1" applyProtection="1">
      <alignment horizontal="left"/>
      <protection locked="0"/>
    </xf>
    <xf numFmtId="3" fontId="12" fillId="2" borderId="0" xfId="0" applyNumberFormat="1" applyFont="1" applyFill="1" applyBorder="1" applyAlignment="1" applyProtection="1">
      <alignment horizontal="left"/>
      <protection locked="0"/>
    </xf>
    <xf numFmtId="0" fontId="12" fillId="2" borderId="0" xfId="0" applyFont="1" applyFill="1" applyBorder="1" applyAlignment="1" applyProtection="1">
      <alignment horizontal="left"/>
      <protection locked="0"/>
    </xf>
    <xf numFmtId="3" fontId="12" fillId="2" borderId="11" xfId="0" applyNumberFormat="1" applyFont="1" applyFill="1" applyBorder="1" applyAlignment="1" applyProtection="1">
      <alignment horizontal="left"/>
      <protection locked="0"/>
    </xf>
    <xf numFmtId="0" fontId="13" fillId="0" borderId="35" xfId="0" applyFont="1" applyBorder="1" applyAlignment="1" applyProtection="1"/>
    <xf numFmtId="3" fontId="13" fillId="0" borderId="36" xfId="0" applyNumberFormat="1" applyFont="1" applyBorder="1" applyAlignment="1" applyProtection="1">
      <alignment horizontal="left"/>
    </xf>
    <xf numFmtId="3" fontId="13" fillId="0" borderId="37" xfId="0" applyNumberFormat="1" applyFont="1" applyBorder="1" applyAlignment="1" applyProtection="1"/>
    <xf numFmtId="3" fontId="13" fillId="0" borderId="34" xfId="0" applyNumberFormat="1" applyFont="1" applyBorder="1" applyAlignment="1" applyProtection="1"/>
    <xf numFmtId="3" fontId="13" fillId="0" borderId="37" xfId="0" quotePrefix="1" applyNumberFormat="1" applyFont="1" applyBorder="1" applyAlignment="1" applyProtection="1">
      <alignment horizontal="left"/>
    </xf>
    <xf numFmtId="0" fontId="13" fillId="0" borderId="38" xfId="7" applyFont="1" applyBorder="1" applyProtection="1">
      <protection locked="0"/>
    </xf>
    <xf numFmtId="0" fontId="13" fillId="0" borderId="39" xfId="7" applyFont="1" applyBorder="1" applyProtection="1">
      <protection locked="0"/>
    </xf>
    <xf numFmtId="0" fontId="13" fillId="0" borderId="40" xfId="7" applyFont="1" applyBorder="1" applyProtection="1">
      <protection locked="0"/>
    </xf>
    <xf numFmtId="0" fontId="13" fillId="0" borderId="0" xfId="7" applyFont="1" applyProtection="1">
      <protection locked="0"/>
    </xf>
    <xf numFmtId="0" fontId="13" fillId="0" borderId="0" xfId="7" applyFont="1" applyAlignment="1" applyProtection="1">
      <alignment horizontal="center"/>
      <protection locked="0"/>
    </xf>
    <xf numFmtId="0" fontId="13" fillId="0" borderId="0" xfId="0" applyFont="1">
      <alignment vertical="top"/>
    </xf>
    <xf numFmtId="2" fontId="12" fillId="0" borderId="0" xfId="0" applyNumberFormat="1" applyFont="1" applyBorder="1" applyAlignment="1" applyProtection="1">
      <alignment horizontal="left"/>
    </xf>
    <xf numFmtId="0" fontId="13" fillId="0" borderId="1" xfId="0" applyFont="1" applyBorder="1" applyProtection="1">
      <alignment vertical="top"/>
      <protection locked="0"/>
    </xf>
    <xf numFmtId="0" fontId="13" fillId="0" borderId="0" xfId="0" applyFont="1" applyAlignment="1" applyProtection="1">
      <alignment horizontal="right" vertical="top"/>
      <protection locked="0"/>
    </xf>
    <xf numFmtId="0" fontId="13" fillId="0" borderId="1" xfId="0" applyFont="1" applyBorder="1" applyAlignment="1" applyProtection="1">
      <alignment horizontal="right" vertical="top"/>
      <protection locked="0"/>
    </xf>
    <xf numFmtId="0" fontId="12" fillId="0" borderId="41" xfId="7" applyFont="1" applyBorder="1" applyAlignment="1" applyProtection="1">
      <alignment horizontal="right"/>
    </xf>
    <xf numFmtId="0" fontId="12" fillId="5" borderId="42" xfId="7" applyFont="1" applyFill="1" applyBorder="1" applyAlignment="1" applyProtection="1">
      <alignment horizontal="center" wrapText="1"/>
    </xf>
    <xf numFmtId="0" fontId="12" fillId="6" borderId="42" xfId="7" applyFont="1" applyFill="1" applyBorder="1" applyAlignment="1" applyProtection="1">
      <alignment horizontal="center" wrapText="1"/>
    </xf>
    <xf numFmtId="0" fontId="12" fillId="5" borderId="43" xfId="7" applyFont="1" applyFill="1" applyBorder="1" applyAlignment="1" applyProtection="1">
      <alignment horizontal="center" wrapText="1"/>
    </xf>
    <xf numFmtId="165" fontId="12" fillId="6" borderId="44" xfId="7" applyNumberFormat="1" applyFont="1" applyFill="1" applyBorder="1" applyAlignment="1" applyProtection="1">
      <alignment horizontal="center" wrapText="1"/>
    </xf>
    <xf numFmtId="49" fontId="13" fillId="0" borderId="1" xfId="7" applyNumberFormat="1" applyFont="1" applyBorder="1" applyAlignment="1" applyProtection="1">
      <alignment horizontal="center"/>
    </xf>
    <xf numFmtId="0" fontId="12" fillId="0" borderId="0" xfId="0" applyFont="1" applyAlignment="1" applyProtection="1"/>
    <xf numFmtId="0" fontId="12" fillId="7" borderId="1" xfId="0" applyFont="1" applyFill="1" applyBorder="1" applyAlignment="1" applyProtection="1">
      <alignment horizontal="right" vertical="top"/>
    </xf>
    <xf numFmtId="0" fontId="13" fillId="8" borderId="0" xfId="0" applyFont="1" applyFill="1" applyProtection="1">
      <alignment vertical="top"/>
    </xf>
    <xf numFmtId="0" fontId="12" fillId="2" borderId="35" xfId="0" applyFont="1" applyFill="1" applyBorder="1" applyAlignment="1" applyProtection="1">
      <alignment horizontal="left" vertical="top"/>
    </xf>
    <xf numFmtId="0" fontId="13" fillId="2" borderId="8" xfId="0" applyFont="1" applyFill="1" applyBorder="1" applyProtection="1">
      <alignment vertical="top"/>
    </xf>
    <xf numFmtId="0" fontId="13" fillId="2" borderId="37" xfId="0" applyFont="1" applyFill="1" applyBorder="1" applyProtection="1">
      <alignment vertical="top"/>
    </xf>
    <xf numFmtId="0" fontId="12" fillId="8" borderId="0" xfId="0" applyFont="1" applyFill="1" applyProtection="1">
      <alignment vertical="top"/>
    </xf>
    <xf numFmtId="49" fontId="13" fillId="0" borderId="45" xfId="0" applyNumberFormat="1" applyFont="1" applyBorder="1" applyAlignment="1" applyProtection="1">
      <alignment horizontal="center" vertical="top"/>
    </xf>
    <xf numFmtId="49" fontId="13" fillId="0" borderId="1" xfId="0" applyNumberFormat="1" applyFont="1" applyBorder="1" applyAlignment="1" applyProtection="1">
      <alignment horizontal="center" vertical="top"/>
    </xf>
    <xf numFmtId="0" fontId="13" fillId="0" borderId="0" xfId="0" applyFont="1" applyProtection="1">
      <alignment vertical="top"/>
    </xf>
    <xf numFmtId="0" fontId="12" fillId="0" borderId="1" xfId="0" applyFont="1" applyBorder="1" applyAlignment="1" applyProtection="1">
      <alignment horizontal="center" wrapText="1"/>
    </xf>
    <xf numFmtId="0" fontId="13" fillId="0" borderId="0" xfId="0" applyFont="1" applyAlignment="1" applyProtection="1">
      <alignment horizontal="center" vertical="top"/>
    </xf>
    <xf numFmtId="0" fontId="12" fillId="2" borderId="35" xfId="0" applyFont="1" applyFill="1" applyBorder="1" applyProtection="1">
      <alignment vertical="top"/>
    </xf>
    <xf numFmtId="49" fontId="13" fillId="11" borderId="45" xfId="0" applyNumberFormat="1" applyFont="1" applyFill="1" applyBorder="1" applyAlignment="1" applyProtection="1">
      <alignment horizontal="center" vertical="top"/>
    </xf>
    <xf numFmtId="0" fontId="12" fillId="11" borderId="1" xfId="0" applyFont="1" applyFill="1" applyBorder="1" applyAlignment="1" applyProtection="1">
      <alignment horizontal="center" wrapText="1"/>
    </xf>
    <xf numFmtId="2" fontId="13" fillId="0" borderId="1" xfId="0" applyNumberFormat="1" applyFont="1" applyBorder="1" applyProtection="1">
      <alignment vertical="top"/>
      <protection locked="0"/>
    </xf>
    <xf numFmtId="164" fontId="12" fillId="7" borderId="1" xfId="0" applyNumberFormat="1" applyFont="1" applyFill="1" applyBorder="1" applyProtection="1">
      <alignment vertical="top"/>
    </xf>
    <xf numFmtId="164" fontId="12" fillId="11" borderId="1" xfId="0" applyNumberFormat="1" applyFont="1" applyFill="1" applyBorder="1" applyProtection="1">
      <alignment vertical="top"/>
    </xf>
    <xf numFmtId="164" fontId="13" fillId="11" borderId="1" xfId="0" applyNumberFormat="1" applyFont="1" applyFill="1" applyBorder="1" applyProtection="1">
      <alignment vertical="top"/>
    </xf>
    <xf numFmtId="164" fontId="12" fillId="11" borderId="24" xfId="0" applyNumberFormat="1" applyFont="1" applyFill="1" applyBorder="1" applyProtection="1">
      <alignment vertical="top"/>
    </xf>
    <xf numFmtId="2" fontId="12" fillId="7" borderId="1" xfId="0" applyNumberFormat="1" applyFont="1" applyFill="1" applyBorder="1" applyProtection="1">
      <alignment vertical="top"/>
    </xf>
    <xf numFmtId="0" fontId="12" fillId="6" borderId="24" xfId="0" applyFont="1" applyFill="1" applyBorder="1" applyAlignment="1" applyProtection="1">
      <alignment horizontal="right"/>
    </xf>
    <xf numFmtId="2" fontId="12" fillId="6" borderId="24" xfId="0" applyNumberFormat="1" applyFont="1" applyFill="1" applyBorder="1" applyAlignment="1" applyProtection="1"/>
    <xf numFmtId="164" fontId="12" fillId="6" borderId="24" xfId="0" applyNumberFormat="1" applyFont="1" applyFill="1" applyBorder="1" applyAlignment="1" applyProtection="1"/>
    <xf numFmtId="0" fontId="12" fillId="7" borderId="46" xfId="0" applyFont="1" applyFill="1" applyBorder="1" applyAlignment="1" applyProtection="1">
      <alignment horizontal="right" vertical="top"/>
    </xf>
    <xf numFmtId="2" fontId="12" fillId="7" borderId="46" xfId="0" applyNumberFormat="1" applyFont="1" applyFill="1" applyBorder="1" applyProtection="1">
      <alignment vertical="top"/>
    </xf>
    <xf numFmtId="164" fontId="12" fillId="7" borderId="46" xfId="0" applyNumberFormat="1" applyFont="1" applyFill="1" applyBorder="1" applyProtection="1">
      <alignment vertical="top"/>
    </xf>
    <xf numFmtId="164" fontId="12" fillId="11" borderId="46" xfId="0" applyNumberFormat="1" applyFont="1" applyFill="1" applyBorder="1" applyProtection="1">
      <alignment vertical="top"/>
    </xf>
    <xf numFmtId="0" fontId="12" fillId="2" borderId="47" xfId="0" applyFont="1" applyFill="1" applyBorder="1" applyAlignment="1" applyProtection="1">
      <alignment horizontal="left"/>
      <protection locked="0"/>
    </xf>
    <xf numFmtId="0" fontId="8" fillId="0" borderId="24" xfId="0" applyFont="1" applyBorder="1" applyAlignment="1">
      <alignment vertical="top" wrapText="1"/>
    </xf>
    <xf numFmtId="3" fontId="13" fillId="0" borderId="0" xfId="0" applyNumberFormat="1" applyFont="1" applyBorder="1" applyAlignment="1" applyProtection="1"/>
    <xf numFmtId="164" fontId="12" fillId="0" borderId="45" xfId="0" applyNumberFormat="1" applyFont="1" applyFill="1" applyBorder="1" applyProtection="1">
      <alignment vertical="top"/>
    </xf>
    <xf numFmtId="165" fontId="13" fillId="0" borderId="45" xfId="0" applyNumberFormat="1" applyFont="1" applyBorder="1" applyProtection="1">
      <alignment vertical="top"/>
    </xf>
    <xf numFmtId="164" fontId="13" fillId="0" borderId="22" xfId="0" applyNumberFormat="1" applyFont="1" applyFill="1" applyBorder="1" applyProtection="1">
      <alignment vertical="top"/>
      <protection locked="0"/>
    </xf>
    <xf numFmtId="164" fontId="13" fillId="0" borderId="23" xfId="0" applyNumberFormat="1" applyFont="1" applyFill="1" applyBorder="1" applyProtection="1">
      <alignment vertical="top"/>
    </xf>
    <xf numFmtId="164" fontId="13" fillId="0" borderId="36" xfId="0" applyNumberFormat="1" applyFont="1" applyFill="1" applyBorder="1" applyProtection="1">
      <alignment vertical="top"/>
      <protection locked="0"/>
    </xf>
    <xf numFmtId="2" fontId="13" fillId="0" borderId="1" xfId="0" applyNumberFormat="1" applyFont="1" applyBorder="1" applyAlignment="1" applyProtection="1">
      <alignment horizontal="center"/>
    </xf>
    <xf numFmtId="2" fontId="13" fillId="0" borderId="24" xfId="0" applyNumberFormat="1" applyFont="1" applyBorder="1" applyAlignment="1" applyProtection="1">
      <alignment horizontal="center"/>
    </xf>
    <xf numFmtId="2" fontId="13" fillId="0" borderId="22" xfId="0" applyNumberFormat="1" applyFont="1" applyBorder="1" applyAlignment="1" applyProtection="1">
      <alignment horizontal="center"/>
    </xf>
    <xf numFmtId="0" fontId="13" fillId="0" borderId="1" xfId="0" quotePrefix="1" applyNumberFormat="1" applyFont="1" applyBorder="1" applyAlignment="1" applyProtection="1">
      <alignment horizontal="center"/>
    </xf>
    <xf numFmtId="0" fontId="13" fillId="0" borderId="24" xfId="0" quotePrefix="1" applyNumberFormat="1" applyFont="1" applyBorder="1" applyAlignment="1" applyProtection="1">
      <alignment horizontal="center"/>
    </xf>
    <xf numFmtId="2" fontId="13" fillId="0" borderId="14" xfId="0" applyNumberFormat="1" applyFont="1" applyBorder="1" applyAlignment="1" applyProtection="1">
      <alignment horizontal="center"/>
    </xf>
    <xf numFmtId="0" fontId="13" fillId="0" borderId="1" xfId="0" applyNumberFormat="1" applyFont="1" applyBorder="1" applyAlignment="1" applyProtection="1">
      <alignment horizontal="center"/>
    </xf>
    <xf numFmtId="2" fontId="13" fillId="0" borderId="24" xfId="0" quotePrefix="1" applyNumberFormat="1" applyFont="1" applyBorder="1" applyAlignment="1" applyProtection="1">
      <alignment horizontal="center"/>
    </xf>
    <xf numFmtId="0" fontId="13" fillId="0" borderId="14" xfId="0" quotePrefix="1" applyNumberFormat="1" applyFont="1" applyBorder="1" applyAlignment="1" applyProtection="1">
      <alignment horizontal="center"/>
    </xf>
    <xf numFmtId="0" fontId="13" fillId="0" borderId="22" xfId="0" quotePrefix="1" applyNumberFormat="1" applyFont="1" applyBorder="1" applyAlignment="1" applyProtection="1">
      <alignment horizontal="center"/>
    </xf>
    <xf numFmtId="0" fontId="13" fillId="0" borderId="48" xfId="0" quotePrefix="1" applyNumberFormat="1" applyFont="1" applyBorder="1" applyAlignment="1" applyProtection="1">
      <alignment horizontal="center"/>
    </xf>
    <xf numFmtId="0" fontId="13" fillId="0" borderId="24" xfId="0" applyNumberFormat="1" applyFont="1" applyBorder="1" applyAlignment="1" applyProtection="1">
      <alignment horizontal="center"/>
    </xf>
    <xf numFmtId="1" fontId="13" fillId="0" borderId="1" xfId="0" applyNumberFormat="1" applyFont="1" applyBorder="1" applyAlignment="1" applyProtection="1">
      <alignment horizontal="center"/>
      <protection locked="0"/>
    </xf>
    <xf numFmtId="0" fontId="13" fillId="0" borderId="30" xfId="0" applyNumberFormat="1" applyFont="1" applyBorder="1" applyAlignment="1" applyProtection="1">
      <alignment horizontal="center"/>
      <protection locked="0"/>
    </xf>
    <xf numFmtId="2" fontId="12" fillId="0" borderId="0" xfId="0" applyNumberFormat="1" applyFont="1" applyFill="1" applyBorder="1" applyAlignment="1" applyProtection="1">
      <alignment horizontal="center"/>
      <protection locked="0"/>
    </xf>
    <xf numFmtId="2" fontId="13" fillId="0" borderId="0" xfId="0" applyNumberFormat="1" applyFont="1" applyBorder="1" applyAlignment="1" applyProtection="1">
      <alignment horizontal="center"/>
      <protection locked="0"/>
    </xf>
    <xf numFmtId="2" fontId="12" fillId="0" borderId="0" xfId="0" applyNumberFormat="1" applyFont="1" applyBorder="1" applyAlignment="1" applyProtection="1">
      <alignment horizontal="center" vertical="top"/>
      <protection locked="0"/>
    </xf>
    <xf numFmtId="2" fontId="13" fillId="0" borderId="0" xfId="0" applyNumberFormat="1" applyFont="1" applyBorder="1" applyAlignment="1" applyProtection="1">
      <alignment horizontal="center" vertical="top"/>
      <protection locked="0"/>
    </xf>
    <xf numFmtId="2" fontId="13" fillId="0" borderId="0" xfId="0" applyNumberFormat="1" applyFont="1" applyFill="1" applyBorder="1" applyAlignment="1" applyProtection="1">
      <alignment horizontal="center"/>
      <protection locked="0"/>
    </xf>
    <xf numFmtId="2" fontId="13" fillId="0" borderId="0" xfId="0" applyNumberFormat="1" applyFont="1" applyAlignment="1" applyProtection="1">
      <alignment horizontal="center" vertical="top"/>
      <protection locked="0"/>
    </xf>
    <xf numFmtId="164" fontId="12" fillId="0" borderId="24" xfId="0" applyNumberFormat="1" applyFont="1" applyFill="1" applyBorder="1" applyProtection="1">
      <alignment vertical="top"/>
    </xf>
    <xf numFmtId="164" fontId="12" fillId="2" borderId="5" xfId="0" applyNumberFormat="1" applyFont="1" applyFill="1" applyBorder="1" applyProtection="1">
      <alignment vertical="top"/>
    </xf>
    <xf numFmtId="0" fontId="13" fillId="2" borderId="47" xfId="0" applyFont="1" applyFill="1" applyBorder="1" applyAlignment="1" applyProtection="1">
      <alignment horizontal="center"/>
      <protection locked="0"/>
    </xf>
    <xf numFmtId="0" fontId="16" fillId="2" borderId="47" xfId="0" applyFont="1" applyFill="1" applyBorder="1" applyAlignment="1" applyProtection="1">
      <protection locked="0"/>
    </xf>
    <xf numFmtId="0" fontId="1" fillId="0" borderId="24" xfId="0" applyFont="1" applyBorder="1" applyAlignment="1">
      <alignment horizontal="center" vertical="center"/>
    </xf>
    <xf numFmtId="0" fontId="3" fillId="0" borderId="24" xfId="0" applyFont="1" applyBorder="1" applyAlignment="1">
      <alignment vertical="top" wrapText="1"/>
    </xf>
    <xf numFmtId="0" fontId="2" fillId="0" borderId="0" xfId="0" applyFont="1" applyBorder="1" applyAlignment="1">
      <alignment vertical="top" wrapText="1"/>
    </xf>
    <xf numFmtId="0" fontId="12" fillId="2" borderId="50" xfId="7" applyFont="1" applyFill="1" applyBorder="1" applyAlignment="1" applyProtection="1">
      <alignment horizontal="center"/>
    </xf>
    <xf numFmtId="0" fontId="7" fillId="0" borderId="1" xfId="0" applyFont="1" applyBorder="1" applyAlignment="1">
      <alignment vertical="top" wrapText="1"/>
    </xf>
    <xf numFmtId="0" fontId="19" fillId="0" borderId="0" xfId="0" applyFont="1">
      <alignment vertical="top"/>
    </xf>
    <xf numFmtId="0" fontId="19" fillId="0" borderId="0" xfId="0" applyFont="1" applyBorder="1" applyProtection="1">
      <alignment vertical="top"/>
      <protection locked="0"/>
    </xf>
    <xf numFmtId="0" fontId="20" fillId="0" borderId="0" xfId="0" applyFont="1">
      <alignment vertical="top"/>
    </xf>
    <xf numFmtId="166" fontId="18" fillId="0" borderId="0" xfId="0" applyNumberFormat="1" applyFont="1" applyFill="1" applyAlignment="1">
      <alignment wrapText="1"/>
    </xf>
    <xf numFmtId="0" fontId="19" fillId="0" borderId="0" xfId="0" applyFont="1" applyAlignment="1">
      <alignment wrapText="1"/>
    </xf>
    <xf numFmtId="0" fontId="22" fillId="0" borderId="0" xfId="0" applyFont="1">
      <alignment vertical="top"/>
    </xf>
    <xf numFmtId="0" fontId="22" fillId="0" borderId="0" xfId="0" applyFont="1" applyAlignment="1"/>
    <xf numFmtId="166" fontId="22" fillId="0" borderId="0" xfId="0" applyNumberFormat="1" applyFont="1" applyFill="1">
      <alignment vertical="top"/>
    </xf>
    <xf numFmtId="0" fontId="22" fillId="0" borderId="0" xfId="0" applyFont="1" applyAlignment="1">
      <alignment horizontal="left"/>
    </xf>
    <xf numFmtId="0" fontId="22" fillId="0" borderId="0" xfId="0" applyFont="1" applyFill="1">
      <alignment vertical="top"/>
    </xf>
    <xf numFmtId="0" fontId="19" fillId="0" borderId="0" xfId="0" applyFont="1" applyFill="1">
      <alignment vertical="top"/>
    </xf>
    <xf numFmtId="166" fontId="31" fillId="0" borderId="0" xfId="0" applyNumberFormat="1" applyFont="1" applyAlignment="1">
      <alignment horizontal="left" wrapText="1"/>
    </xf>
    <xf numFmtId="0" fontId="31" fillId="0" borderId="0" xfId="0" applyFont="1" applyAlignment="1">
      <alignment wrapText="1"/>
    </xf>
    <xf numFmtId="0" fontId="13" fillId="3" borderId="51" xfId="0" applyFont="1" applyFill="1" applyBorder="1" applyProtection="1">
      <alignment vertical="top"/>
      <protection locked="0"/>
    </xf>
    <xf numFmtId="0" fontId="13" fillId="0" borderId="52" xfId="0" applyFont="1" applyBorder="1" applyAlignment="1" applyProtection="1">
      <alignment vertical="top" wrapText="1"/>
      <protection locked="0"/>
    </xf>
    <xf numFmtId="0" fontId="13" fillId="0" borderId="53" xfId="0" applyFont="1" applyBorder="1" applyAlignment="1" applyProtection="1">
      <alignment vertical="top" wrapText="1"/>
      <protection locked="0"/>
    </xf>
    <xf numFmtId="0" fontId="13" fillId="3" borderId="52" xfId="0" applyFont="1" applyFill="1" applyBorder="1" applyAlignment="1" applyProtection="1">
      <alignment vertical="top" wrapText="1"/>
      <protection locked="0"/>
    </xf>
    <xf numFmtId="0" fontId="13" fillId="0" borderId="54" xfId="0" applyFont="1" applyBorder="1" applyProtection="1">
      <alignment vertical="top"/>
      <protection locked="0"/>
    </xf>
    <xf numFmtId="0" fontId="13" fillId="3" borderId="55" xfId="0" applyFont="1" applyFill="1" applyBorder="1" applyAlignment="1" applyProtection="1">
      <alignment vertical="top" wrapText="1"/>
      <protection locked="0"/>
    </xf>
    <xf numFmtId="0" fontId="13" fillId="0" borderId="56" xfId="0" applyFont="1" applyBorder="1" applyAlignment="1" applyProtection="1">
      <alignment vertical="top" wrapText="1"/>
      <protection locked="0"/>
    </xf>
    <xf numFmtId="0" fontId="13" fillId="0" borderId="55" xfId="0" applyFont="1" applyBorder="1" applyAlignment="1" applyProtection="1">
      <alignment vertical="top" wrapText="1"/>
      <protection locked="0"/>
    </xf>
    <xf numFmtId="0" fontId="13" fillId="0" borderId="57" xfId="0" applyFont="1" applyBorder="1" applyAlignment="1" applyProtection="1">
      <alignment vertical="top" wrapText="1"/>
      <protection locked="0"/>
    </xf>
    <xf numFmtId="0" fontId="12" fillId="0" borderId="44" xfId="7" applyFont="1" applyFill="1" applyBorder="1" applyAlignment="1" applyProtection="1">
      <alignment horizontal="right"/>
    </xf>
    <xf numFmtId="164" fontId="13" fillId="0" borderId="55" xfId="7" applyNumberFormat="1" applyFont="1" applyFill="1" applyBorder="1" applyProtection="1">
      <protection locked="0"/>
    </xf>
    <xf numFmtId="164" fontId="13" fillId="0" borderId="52" xfId="7" applyNumberFormat="1" applyFont="1" applyFill="1" applyBorder="1" applyProtection="1">
      <protection locked="0"/>
    </xf>
    <xf numFmtId="164" fontId="12" fillId="0" borderId="44" xfId="7" applyNumberFormat="1" applyFont="1" applyFill="1" applyBorder="1" applyProtection="1"/>
    <xf numFmtId="164" fontId="13" fillId="5" borderId="24" xfId="7" applyNumberFormat="1" applyFont="1" applyFill="1" applyBorder="1" applyProtection="1">
      <protection locked="0"/>
    </xf>
    <xf numFmtId="164" fontId="13" fillId="6" borderId="58" xfId="7" applyNumberFormat="1" applyFont="1" applyFill="1" applyBorder="1" applyProtection="1">
      <protection locked="0"/>
    </xf>
    <xf numFmtId="164" fontId="13" fillId="5" borderId="1" xfId="7" applyNumberFormat="1" applyFont="1" applyFill="1" applyBorder="1" applyProtection="1">
      <protection locked="0"/>
    </xf>
    <xf numFmtId="164" fontId="13" fillId="6" borderId="35" xfId="7" applyNumberFormat="1" applyFont="1" applyFill="1" applyBorder="1" applyProtection="1">
      <protection locked="0"/>
    </xf>
    <xf numFmtId="164" fontId="13" fillId="5" borderId="45" xfId="7" applyNumberFormat="1" applyFont="1" applyFill="1" applyBorder="1" applyProtection="1">
      <protection locked="0"/>
    </xf>
    <xf numFmtId="164" fontId="13" fillId="6" borderId="59" xfId="7" applyNumberFormat="1" applyFont="1" applyFill="1" applyBorder="1" applyProtection="1">
      <protection locked="0"/>
    </xf>
    <xf numFmtId="164" fontId="13" fillId="5" borderId="58" xfId="7" applyNumberFormat="1" applyFont="1" applyFill="1" applyBorder="1" applyProtection="1"/>
    <xf numFmtId="164" fontId="13" fillId="6" borderId="55" xfId="7" applyNumberFormat="1" applyFont="1" applyFill="1" applyBorder="1" applyProtection="1"/>
    <xf numFmtId="164" fontId="12" fillId="0" borderId="42" xfId="7" applyNumberFormat="1" applyFont="1" applyFill="1" applyBorder="1" applyProtection="1"/>
    <xf numFmtId="0" fontId="20" fillId="0" borderId="0" xfId="0" applyFont="1" applyAlignment="1">
      <alignment horizontal="left" vertical="top"/>
    </xf>
    <xf numFmtId="164" fontId="13" fillId="0" borderId="1" xfId="0" applyNumberFormat="1" applyFont="1" applyBorder="1" applyAlignment="1" applyProtection="1">
      <alignment horizontal="right"/>
      <protection locked="0"/>
    </xf>
    <xf numFmtId="0" fontId="19" fillId="0" borderId="0" xfId="0" applyFont="1" applyProtection="1">
      <alignment vertical="top"/>
    </xf>
    <xf numFmtId="2" fontId="19" fillId="0" borderId="0" xfId="0" applyNumberFormat="1" applyFont="1" applyBorder="1" applyAlignment="1" applyProtection="1"/>
    <xf numFmtId="0" fontId="19" fillId="0" borderId="0" xfId="0" applyFont="1" applyBorder="1" applyAlignment="1" applyProtection="1"/>
    <xf numFmtId="49" fontId="19" fillId="0" borderId="0" xfId="0" applyNumberFormat="1" applyFont="1" applyFill="1" applyBorder="1" applyAlignment="1" applyProtection="1">
      <alignment horizontal="left"/>
    </xf>
    <xf numFmtId="2" fontId="18" fillId="0" borderId="0" xfId="0" applyNumberFormat="1" applyFont="1" applyFill="1" applyBorder="1" applyAlignment="1" applyProtection="1"/>
    <xf numFmtId="0" fontId="18" fillId="0" borderId="0" xfId="0" applyFont="1" applyBorder="1" applyAlignment="1" applyProtection="1">
      <alignment horizontal="left"/>
    </xf>
    <xf numFmtId="49" fontId="17" fillId="12" borderId="30" xfId="0" applyNumberFormat="1" applyFont="1" applyFill="1" applyBorder="1" applyAlignment="1" applyProtection="1">
      <alignment horizontal="center" wrapText="1"/>
      <protection locked="0"/>
    </xf>
    <xf numFmtId="0" fontId="12" fillId="2" borderId="60" xfId="7" applyFont="1" applyFill="1" applyBorder="1" applyAlignment="1" applyProtection="1"/>
    <xf numFmtId="49" fontId="2" fillId="0" borderId="0" xfId="0" applyNumberFormat="1" applyFont="1" applyBorder="1" applyAlignment="1" applyProtection="1">
      <alignment horizontal="center"/>
    </xf>
    <xf numFmtId="49" fontId="2" fillId="0" borderId="0" xfId="0" quotePrefix="1" applyNumberFormat="1" applyFont="1" applyFill="1" applyBorder="1" applyAlignment="1" applyProtection="1">
      <alignment horizontal="center"/>
    </xf>
    <xf numFmtId="2" fontId="20" fillId="0" borderId="1" xfId="0" applyNumberFormat="1" applyFont="1" applyBorder="1" applyAlignment="1" applyProtection="1">
      <alignment horizontal="center"/>
      <protection locked="0"/>
    </xf>
    <xf numFmtId="2" fontId="21" fillId="0" borderId="1" xfId="0" applyNumberFormat="1" applyFont="1" applyBorder="1" applyAlignment="1" applyProtection="1">
      <alignment horizontal="center"/>
      <protection locked="0"/>
    </xf>
    <xf numFmtId="2" fontId="20" fillId="0" borderId="1" xfId="0" applyNumberFormat="1" applyFont="1" applyFill="1" applyBorder="1" applyAlignment="1" applyProtection="1">
      <alignment horizontal="center"/>
      <protection locked="0"/>
    </xf>
    <xf numFmtId="2" fontId="12" fillId="0" borderId="0" xfId="0" applyNumberFormat="1" applyFont="1" applyFill="1" applyBorder="1" applyAlignment="1" applyProtection="1">
      <alignment horizontal="center"/>
    </xf>
    <xf numFmtId="49" fontId="0" fillId="0" borderId="0" xfId="0" applyNumberFormat="1" applyBorder="1" applyAlignment="1" applyProtection="1"/>
    <xf numFmtId="0" fontId="13" fillId="0" borderId="0" xfId="0" applyFont="1" applyBorder="1" applyProtection="1">
      <alignment vertical="top"/>
    </xf>
    <xf numFmtId="0" fontId="0" fillId="0" borderId="0" xfId="0" applyAlignment="1" applyProtection="1"/>
    <xf numFmtId="49" fontId="13" fillId="0" borderId="0" xfId="0" applyNumberFormat="1" applyFont="1" applyFill="1" applyBorder="1" applyAlignment="1" applyProtection="1">
      <alignment horizontal="left"/>
    </xf>
    <xf numFmtId="2" fontId="12" fillId="0" borderId="0" xfId="0" applyNumberFormat="1" applyFont="1" applyFill="1" applyBorder="1" applyAlignment="1" applyProtection="1"/>
    <xf numFmtId="2" fontId="23" fillId="0" borderId="0" xfId="0" applyNumberFormat="1" applyFont="1" applyFill="1" applyBorder="1" applyAlignment="1" applyProtection="1">
      <alignment horizontal="center" vertical="center"/>
    </xf>
    <xf numFmtId="0" fontId="0" fillId="0" borderId="0" xfId="0" applyAlignment="1" applyProtection="1">
      <alignment vertical="center"/>
    </xf>
    <xf numFmtId="49" fontId="12" fillId="0" borderId="0" xfId="0" applyNumberFormat="1" applyFont="1" applyBorder="1" applyAlignment="1" applyProtection="1">
      <alignment horizontal="left"/>
    </xf>
    <xf numFmtId="0" fontId="12" fillId="0" borderId="0" xfId="7" applyFont="1" applyBorder="1" applyAlignment="1" applyProtection="1"/>
    <xf numFmtId="0" fontId="12" fillId="2" borderId="50" xfId="7" applyFont="1" applyFill="1" applyBorder="1" applyAlignment="1" applyProtection="1"/>
    <xf numFmtId="164" fontId="13" fillId="0" borderId="0" xfId="0" applyNumberFormat="1" applyFont="1" applyProtection="1">
      <alignment vertical="top"/>
    </xf>
    <xf numFmtId="164" fontId="13" fillId="0" borderId="0" xfId="0" applyNumberFormat="1" applyFont="1" applyFill="1" applyProtection="1">
      <alignment vertical="top"/>
    </xf>
    <xf numFmtId="165" fontId="13" fillId="0" borderId="0" xfId="0" applyNumberFormat="1" applyFont="1" applyProtection="1">
      <alignment vertical="top"/>
    </xf>
    <xf numFmtId="0" fontId="19" fillId="0" borderId="0" xfId="0" applyFont="1" applyFill="1" applyBorder="1" applyProtection="1">
      <alignment vertical="top"/>
    </xf>
    <xf numFmtId="164" fontId="2" fillId="0" borderId="1" xfId="0" applyNumberFormat="1" applyFont="1" applyBorder="1" applyAlignment="1" applyProtection="1">
      <alignment horizontal="center"/>
    </xf>
    <xf numFmtId="49" fontId="2" fillId="0" borderId="35" xfId="0" applyNumberFormat="1" applyFont="1" applyBorder="1" applyAlignment="1" applyProtection="1">
      <alignment horizontal="center" vertical="top"/>
    </xf>
    <xf numFmtId="49" fontId="2" fillId="0" borderId="35" xfId="0" applyNumberFormat="1" applyFont="1" applyBorder="1" applyAlignment="1" applyProtection="1">
      <alignment horizontal="center"/>
    </xf>
    <xf numFmtId="49" fontId="13" fillId="0" borderId="37" xfId="0" applyNumberFormat="1" applyFont="1" applyBorder="1" applyAlignment="1" applyProtection="1">
      <alignment horizontal="center"/>
    </xf>
    <xf numFmtId="49" fontId="13" fillId="0" borderId="0" xfId="0" applyNumberFormat="1" applyFont="1" applyFill="1" applyBorder="1" applyAlignment="1" applyProtection="1">
      <alignment horizontal="center"/>
    </xf>
    <xf numFmtId="164" fontId="2" fillId="0" borderId="1" xfId="0" applyNumberFormat="1" applyFont="1" applyFill="1" applyBorder="1" applyAlignment="1" applyProtection="1">
      <alignment horizontal="center"/>
    </xf>
    <xf numFmtId="165" fontId="2" fillId="0" borderId="1" xfId="0" applyNumberFormat="1" applyFont="1" applyBorder="1" applyAlignment="1" applyProtection="1">
      <alignment horizontal="center"/>
    </xf>
    <xf numFmtId="49" fontId="2" fillId="0" borderId="1" xfId="0" applyNumberFormat="1" applyFont="1" applyBorder="1" applyAlignment="1" applyProtection="1">
      <alignment horizontal="center"/>
    </xf>
    <xf numFmtId="2" fontId="12" fillId="0" borderId="1" xfId="0" applyNumberFormat="1" applyFont="1" applyBorder="1" applyAlignment="1" applyProtection="1">
      <alignment horizontal="center" wrapText="1"/>
    </xf>
    <xf numFmtId="0" fontId="12" fillId="0" borderId="35" xfId="0" applyFont="1" applyBorder="1" applyAlignment="1" applyProtection="1">
      <alignment horizontal="center"/>
    </xf>
    <xf numFmtId="0" fontId="12" fillId="0" borderId="37" xfId="0" applyFont="1" applyBorder="1" applyAlignment="1" applyProtection="1"/>
    <xf numFmtId="49" fontId="2" fillId="0" borderId="0" xfId="0" applyNumberFormat="1" applyFont="1" applyFill="1" applyBorder="1" applyAlignment="1" applyProtection="1">
      <alignment horizontal="center"/>
    </xf>
    <xf numFmtId="164" fontId="12" fillId="0" borderId="4" xfId="0" applyNumberFormat="1" applyFont="1" applyFill="1" applyBorder="1" applyAlignment="1" applyProtection="1">
      <alignment horizontal="center"/>
    </xf>
    <xf numFmtId="164" fontId="12" fillId="0" borderId="5" xfId="0" applyNumberFormat="1" applyFont="1" applyFill="1" applyBorder="1" applyAlignment="1" applyProtection="1">
      <alignment horizontal="center"/>
    </xf>
    <xf numFmtId="164" fontId="12" fillId="0" borderId="5" xfId="0" applyNumberFormat="1" applyFont="1" applyBorder="1" applyAlignment="1" applyProtection="1">
      <alignment horizontal="center" wrapText="1"/>
    </xf>
    <xf numFmtId="164" fontId="12" fillId="0" borderId="6" xfId="0" applyNumberFormat="1" applyFont="1" applyBorder="1" applyAlignment="1" applyProtection="1">
      <alignment horizontal="center" wrapText="1"/>
    </xf>
    <xf numFmtId="164" fontId="12" fillId="0" borderId="61" xfId="0" applyNumberFormat="1" applyFont="1" applyFill="1" applyBorder="1" applyAlignment="1" applyProtection="1">
      <alignment horizontal="center"/>
    </xf>
    <xf numFmtId="164" fontId="12" fillId="0" borderId="45" xfId="0" applyNumberFormat="1" applyFont="1" applyFill="1" applyBorder="1" applyAlignment="1" applyProtection="1">
      <alignment horizontal="center"/>
    </xf>
    <xf numFmtId="164" fontId="12" fillId="0" borderId="45" xfId="0" applyNumberFormat="1" applyFont="1" applyFill="1" applyBorder="1" applyAlignment="1" applyProtection="1">
      <alignment horizontal="center" wrapText="1"/>
    </xf>
    <xf numFmtId="165" fontId="12" fillId="0" borderId="45" xfId="0" applyNumberFormat="1" applyFont="1" applyBorder="1" applyAlignment="1" applyProtection="1">
      <alignment horizontal="center" wrapText="1"/>
    </xf>
    <xf numFmtId="0" fontId="12" fillId="0" borderId="56" xfId="0" applyFont="1" applyFill="1" applyBorder="1" applyAlignment="1" applyProtection="1">
      <alignment horizontal="center" wrapText="1"/>
    </xf>
    <xf numFmtId="2" fontId="20" fillId="13" borderId="1" xfId="0" applyNumberFormat="1" applyFont="1" applyFill="1" applyBorder="1" applyAlignment="1" applyProtection="1">
      <alignment horizontal="center"/>
    </xf>
    <xf numFmtId="2" fontId="21" fillId="13" borderId="1" xfId="0" applyNumberFormat="1" applyFont="1" applyFill="1" applyBorder="1" applyAlignment="1" applyProtection="1">
      <alignment horizontal="center"/>
    </xf>
    <xf numFmtId="2" fontId="20" fillId="0" borderId="0" xfId="0" applyNumberFormat="1" applyFont="1" applyFill="1" applyBorder="1" applyAlignment="1" applyProtection="1">
      <alignment horizontal="center"/>
      <protection locked="0"/>
    </xf>
    <xf numFmtId="2" fontId="20" fillId="0" borderId="0" xfId="0" applyNumberFormat="1" applyFont="1" applyBorder="1" applyAlignment="1" applyProtection="1">
      <alignment horizontal="center"/>
      <protection locked="0"/>
    </xf>
    <xf numFmtId="49" fontId="20" fillId="0" borderId="0" xfId="0" applyNumberFormat="1" applyFont="1" applyBorder="1" applyAlignment="1" applyProtection="1">
      <alignment horizontal="left"/>
      <protection locked="0"/>
    </xf>
    <xf numFmtId="0" fontId="19" fillId="0" borderId="0" xfId="0" applyFont="1" applyBorder="1" applyAlignment="1" applyProtection="1">
      <alignment horizontal="center"/>
    </xf>
    <xf numFmtId="0" fontId="18" fillId="11" borderId="62" xfId="0" applyFont="1" applyFill="1" applyBorder="1" applyAlignment="1" applyProtection="1">
      <alignment horizontal="center"/>
    </xf>
    <xf numFmtId="0" fontId="18" fillId="11" borderId="63" xfId="0" applyFont="1" applyFill="1" applyBorder="1" applyAlignment="1" applyProtection="1">
      <alignment horizontal="center" wrapText="1"/>
    </xf>
    <xf numFmtId="0" fontId="18" fillId="11" borderId="64" xfId="0" applyFont="1" applyFill="1" applyBorder="1" applyAlignment="1" applyProtection="1">
      <alignment horizontal="center" wrapText="1"/>
    </xf>
    <xf numFmtId="49" fontId="20" fillId="0" borderId="52" xfId="0" applyNumberFormat="1" applyFont="1" applyBorder="1" applyAlignment="1" applyProtection="1">
      <alignment horizontal="left"/>
      <protection locked="0"/>
    </xf>
    <xf numFmtId="2" fontId="20" fillId="0" borderId="65" xfId="0" applyNumberFormat="1" applyFont="1" applyFill="1" applyBorder="1" applyAlignment="1" applyProtection="1">
      <alignment horizontal="center"/>
      <protection locked="0"/>
    </xf>
    <xf numFmtId="2" fontId="20" fillId="0" borderId="65" xfId="0" applyNumberFormat="1" applyFont="1" applyBorder="1" applyAlignment="1" applyProtection="1">
      <alignment horizontal="center"/>
      <protection locked="0"/>
    </xf>
    <xf numFmtId="49" fontId="20" fillId="0" borderId="66" xfId="0" applyNumberFormat="1" applyFont="1" applyBorder="1" applyAlignment="1" applyProtection="1">
      <alignment horizontal="left"/>
      <protection locked="0"/>
    </xf>
    <xf numFmtId="2" fontId="20" fillId="0" borderId="52" xfId="0" applyNumberFormat="1" applyFont="1" applyBorder="1" applyAlignment="1" applyProtection="1">
      <alignment horizontal="center"/>
      <protection locked="0"/>
    </xf>
    <xf numFmtId="2" fontId="21" fillId="0" borderId="52" xfId="0" applyNumberFormat="1" applyFont="1" applyBorder="1" applyAlignment="1" applyProtection="1">
      <alignment horizontal="center"/>
      <protection locked="0"/>
    </xf>
    <xf numFmtId="2" fontId="20" fillId="0" borderId="52" xfId="0" applyNumberFormat="1" applyFont="1" applyFill="1" applyBorder="1" applyAlignment="1" applyProtection="1">
      <alignment horizontal="center"/>
      <protection locked="0"/>
    </xf>
    <xf numFmtId="2" fontId="20" fillId="0" borderId="57" xfId="0" applyNumberFormat="1" applyFont="1" applyFill="1" applyBorder="1" applyAlignment="1" applyProtection="1">
      <alignment horizontal="center"/>
      <protection locked="0"/>
    </xf>
    <xf numFmtId="0" fontId="19" fillId="0" borderId="39" xfId="0" applyFont="1" applyBorder="1" applyAlignment="1">
      <alignment horizontal="right" vertical="top"/>
    </xf>
    <xf numFmtId="0" fontId="19" fillId="0" borderId="39" xfId="0" applyFont="1" applyFill="1" applyBorder="1" applyAlignment="1" applyProtection="1">
      <alignment horizontal="right" vertical="top"/>
    </xf>
    <xf numFmtId="0" fontId="19" fillId="0" borderId="67" xfId="0" applyFont="1" applyBorder="1" applyAlignment="1">
      <alignment horizontal="right" vertical="top"/>
    </xf>
    <xf numFmtId="2" fontId="12" fillId="0" borderId="0" xfId="0" applyNumberFormat="1" applyFont="1" applyFill="1" applyBorder="1" applyAlignment="1" applyProtection="1">
      <alignment horizontal="left"/>
      <protection locked="0"/>
    </xf>
    <xf numFmtId="2" fontId="18" fillId="0" borderId="0" xfId="0" quotePrefix="1" applyNumberFormat="1" applyFont="1" applyFill="1" applyBorder="1" applyAlignment="1" applyProtection="1">
      <protection locked="0"/>
    </xf>
    <xf numFmtId="0" fontId="0" fillId="0" borderId="0" xfId="0" applyAlignment="1" applyProtection="1">
      <alignment vertical="top"/>
      <protection locked="0"/>
    </xf>
    <xf numFmtId="0" fontId="19" fillId="0" borderId="0" xfId="0" quotePrefix="1" applyFont="1" applyFill="1" applyAlignment="1" applyProtection="1">
      <alignment horizontal="center" vertical="top"/>
      <protection locked="0"/>
    </xf>
    <xf numFmtId="0" fontId="19" fillId="0" borderId="0" xfId="0" applyFont="1" applyFill="1" applyBorder="1" applyProtection="1">
      <alignment vertical="top"/>
      <protection locked="0"/>
    </xf>
    <xf numFmtId="2" fontId="12" fillId="0" borderId="0" xfId="0" applyNumberFormat="1" applyFont="1" applyBorder="1" applyAlignment="1" applyProtection="1">
      <alignment horizontal="center"/>
      <protection locked="0"/>
    </xf>
    <xf numFmtId="2" fontId="12" fillId="0" borderId="0" xfId="0" applyNumberFormat="1" applyFont="1" applyBorder="1" applyAlignment="1" applyProtection="1">
      <alignment horizontal="left"/>
      <protection locked="0"/>
    </xf>
    <xf numFmtId="2" fontId="13" fillId="0" borderId="0" xfId="0" quotePrefix="1" applyNumberFormat="1" applyFont="1" applyBorder="1" applyAlignment="1" applyProtection="1">
      <alignment horizontal="left"/>
      <protection locked="0"/>
    </xf>
    <xf numFmtId="49" fontId="13" fillId="0" borderId="0" xfId="0" applyNumberFormat="1" applyFont="1" applyFill="1" applyBorder="1" applyAlignment="1" applyProtection="1">
      <alignment horizontal="left"/>
      <protection locked="0"/>
    </xf>
    <xf numFmtId="2" fontId="2" fillId="0" borderId="0" xfId="0" quotePrefix="1" applyNumberFormat="1" applyFont="1" applyFill="1" applyBorder="1" applyAlignment="1" applyProtection="1">
      <alignment horizontal="center"/>
      <protection locked="0"/>
    </xf>
    <xf numFmtId="0" fontId="2" fillId="0" borderId="0" xfId="0" quotePrefix="1" applyFont="1" applyFill="1" applyBorder="1" applyAlignment="1" applyProtection="1">
      <alignment horizontal="center"/>
    </xf>
    <xf numFmtId="2" fontId="18" fillId="0" borderId="0" xfId="0" applyNumberFormat="1" applyFont="1" applyBorder="1" applyAlignment="1" applyProtection="1">
      <alignment horizontal="left"/>
      <protection locked="0"/>
    </xf>
    <xf numFmtId="0" fontId="19" fillId="0" borderId="0" xfId="0" applyFont="1" applyAlignment="1" applyProtection="1">
      <alignment vertical="top"/>
      <protection locked="0"/>
    </xf>
    <xf numFmtId="49" fontId="13" fillId="0" borderId="0" xfId="0" applyNumberFormat="1" applyFont="1" applyFill="1" applyBorder="1" applyAlignment="1" applyProtection="1">
      <alignment horizontal="center" vertical="center"/>
    </xf>
    <xf numFmtId="49" fontId="13" fillId="0" borderId="11" xfId="0" applyNumberFormat="1" applyFont="1" applyFill="1" applyBorder="1" applyAlignment="1" applyProtection="1">
      <alignment horizontal="center" vertical="center"/>
    </xf>
    <xf numFmtId="164" fontId="12" fillId="0" borderId="1" xfId="0" applyNumberFormat="1" applyFont="1" applyBorder="1" applyAlignment="1" applyProtection="1">
      <alignment horizontal="center" wrapText="1"/>
    </xf>
    <xf numFmtId="0" fontId="13" fillId="11" borderId="1" xfId="0" applyFont="1" applyFill="1" applyBorder="1" applyAlignment="1" applyProtection="1">
      <alignment horizontal="right" vertical="top"/>
      <protection locked="0"/>
    </xf>
    <xf numFmtId="2" fontId="13" fillId="11" borderId="1" xfId="0" applyNumberFormat="1" applyFont="1" applyFill="1" applyBorder="1" applyAlignment="1" applyProtection="1">
      <alignment horizontal="right" vertical="top"/>
      <protection locked="0"/>
    </xf>
    <xf numFmtId="164" fontId="13" fillId="11" borderId="1" xfId="0" applyNumberFormat="1" applyFont="1" applyFill="1" applyBorder="1" applyAlignment="1" applyProtection="1">
      <alignment horizontal="right" vertical="top"/>
      <protection locked="0"/>
    </xf>
    <xf numFmtId="164" fontId="13" fillId="11" borderId="1" xfId="0" applyNumberFormat="1" applyFont="1" applyFill="1" applyBorder="1" applyProtection="1">
      <alignment vertical="top"/>
      <protection locked="0"/>
    </xf>
    <xf numFmtId="2" fontId="13" fillId="11" borderId="1" xfId="0" applyNumberFormat="1" applyFont="1" applyFill="1" applyBorder="1" applyProtection="1">
      <alignment vertical="top"/>
      <protection locked="0"/>
    </xf>
    <xf numFmtId="2" fontId="12" fillId="11" borderId="46" xfId="0" applyNumberFormat="1" applyFont="1" applyFill="1" applyBorder="1" applyProtection="1">
      <alignment vertical="top"/>
    </xf>
    <xf numFmtId="0" fontId="19" fillId="0" borderId="0" xfId="0" applyFont="1" applyBorder="1">
      <alignment vertical="top"/>
    </xf>
    <xf numFmtId="0" fontId="19" fillId="0" borderId="0" xfId="0" applyFont="1" applyFill="1" applyBorder="1" applyAlignment="1">
      <alignment horizontal="center" vertical="top"/>
    </xf>
    <xf numFmtId="0" fontId="18" fillId="14" borderId="62" xfId="0" applyFont="1" applyFill="1" applyBorder="1" applyAlignment="1">
      <alignment horizontal="center" wrapText="1"/>
    </xf>
    <xf numFmtId="2" fontId="18" fillId="14" borderId="64" xfId="0" applyNumberFormat="1" applyFont="1" applyFill="1" applyBorder="1" applyAlignment="1" applyProtection="1">
      <alignment horizontal="center" wrapText="1"/>
      <protection locked="0"/>
    </xf>
    <xf numFmtId="2" fontId="12" fillId="0" borderId="0" xfId="0" applyNumberFormat="1" applyFont="1" applyFill="1" applyBorder="1" applyAlignment="1" applyProtection="1">
      <alignment horizontal="left"/>
    </xf>
    <xf numFmtId="0" fontId="0" fillId="0" borderId="0" xfId="0" applyBorder="1" applyAlignment="1" applyProtection="1">
      <alignment vertical="center"/>
    </xf>
    <xf numFmtId="0" fontId="0" fillId="0" borderId="0" xfId="0" applyBorder="1" applyAlignment="1" applyProtection="1">
      <alignment vertical="top"/>
      <protection locked="0"/>
    </xf>
    <xf numFmtId="0" fontId="2" fillId="0" borderId="1" xfId="0" applyFont="1" applyBorder="1" applyAlignment="1">
      <alignment vertical="top" wrapText="1"/>
    </xf>
    <xf numFmtId="49" fontId="0" fillId="0" borderId="39" xfId="0" applyNumberFormat="1" applyFill="1" applyBorder="1" applyAlignment="1">
      <alignment vertical="top"/>
    </xf>
    <xf numFmtId="49" fontId="20" fillId="0" borderId="39" xfId="0" applyNumberFormat="1" applyFont="1" applyBorder="1" applyAlignment="1" applyProtection="1">
      <alignment horizontal="left"/>
      <protection locked="0"/>
    </xf>
    <xf numFmtId="49" fontId="20" fillId="0" borderId="67" xfId="0" applyNumberFormat="1" applyFont="1" applyBorder="1" applyAlignment="1" applyProtection="1">
      <alignment horizontal="left"/>
      <protection locked="0"/>
    </xf>
    <xf numFmtId="0" fontId="13" fillId="0" borderId="0" xfId="0" applyFont="1" applyBorder="1">
      <alignment vertical="top"/>
    </xf>
    <xf numFmtId="0" fontId="6" fillId="15" borderId="0" xfId="0" applyFont="1" applyFill="1" applyBorder="1" applyAlignment="1">
      <alignment horizontal="center" vertical="top" wrapText="1"/>
    </xf>
    <xf numFmtId="0" fontId="0" fillId="15" borderId="0" xfId="0" applyFill="1" applyBorder="1" applyAlignment="1">
      <alignment horizontal="center" vertical="top"/>
    </xf>
    <xf numFmtId="0" fontId="8" fillId="0" borderId="1" xfId="0" applyFont="1" applyBorder="1" applyAlignment="1">
      <alignment vertical="top" wrapText="1"/>
    </xf>
    <xf numFmtId="0" fontId="1" fillId="0" borderId="0" xfId="0" applyFont="1" applyBorder="1" applyAlignment="1">
      <alignment horizontal="center" vertical="top"/>
    </xf>
    <xf numFmtId="0" fontId="3" fillId="0" borderId="0" xfId="0" applyFont="1" applyBorder="1" applyAlignment="1">
      <alignment vertical="top" wrapText="1"/>
    </xf>
    <xf numFmtId="0" fontId="0" fillId="0" borderId="1" xfId="0" applyBorder="1" applyAlignment="1">
      <alignment horizontal="center" vertical="center"/>
    </xf>
    <xf numFmtId="16" fontId="2" fillId="0" borderId="1" xfId="0" quotePrefix="1" applyNumberFormat="1" applyFont="1" applyBorder="1" applyAlignment="1">
      <alignment horizontal="center" vertical="center"/>
    </xf>
    <xf numFmtId="0" fontId="0" fillId="0" borderId="24" xfId="0" applyBorder="1" applyAlignment="1">
      <alignment horizontal="center" vertical="center"/>
    </xf>
    <xf numFmtId="16" fontId="2" fillId="0" borderId="1" xfId="0" quotePrefix="1" applyNumberFormat="1" applyFont="1" applyBorder="1" applyAlignment="1">
      <alignment horizontal="center" vertical="center" wrapText="1"/>
    </xf>
    <xf numFmtId="16" fontId="8" fillId="0" borderId="1" xfId="0" quotePrefix="1" applyNumberFormat="1" applyFont="1" applyBorder="1" applyAlignment="1">
      <alignment horizontal="center" vertical="center" wrapText="1"/>
    </xf>
    <xf numFmtId="164" fontId="12" fillId="0" borderId="22" xfId="0" applyNumberFormat="1" applyFont="1" applyFill="1" applyBorder="1" applyProtection="1">
      <alignment vertical="top"/>
    </xf>
    <xf numFmtId="164" fontId="12" fillId="0" borderId="5" xfId="0" applyNumberFormat="1" applyFont="1" applyFill="1" applyBorder="1" applyProtection="1">
      <alignment vertical="top"/>
    </xf>
    <xf numFmtId="164" fontId="13" fillId="0" borderId="30" xfId="0" applyNumberFormat="1" applyFont="1" applyFill="1" applyBorder="1" applyProtection="1">
      <alignment vertical="top"/>
      <protection locked="0"/>
    </xf>
    <xf numFmtId="164" fontId="12" fillId="0" borderId="31" xfId="0" applyNumberFormat="1" applyFont="1" applyFill="1" applyBorder="1" applyProtection="1">
      <alignment vertical="top"/>
    </xf>
    <xf numFmtId="164" fontId="12" fillId="16" borderId="14" xfId="0" applyNumberFormat="1" applyFont="1" applyFill="1" applyBorder="1" applyProtection="1">
      <alignment vertical="top"/>
    </xf>
    <xf numFmtId="49" fontId="20" fillId="0" borderId="52" xfId="3" applyNumberFormat="1" applyFont="1" applyBorder="1" applyAlignment="1" applyProtection="1">
      <alignment horizontal="left"/>
      <protection locked="0"/>
    </xf>
    <xf numFmtId="49" fontId="20" fillId="0" borderId="66" xfId="3" applyNumberFormat="1" applyFont="1" applyBorder="1" applyAlignment="1" applyProtection="1">
      <alignment horizontal="left"/>
      <protection locked="0"/>
    </xf>
    <xf numFmtId="0" fontId="29" fillId="0" borderId="64" xfId="3" applyFont="1" applyBorder="1" applyAlignment="1" applyProtection="1">
      <alignment vertical="top" wrapText="1"/>
      <protection locked="0"/>
    </xf>
    <xf numFmtId="2" fontId="20" fillId="0" borderId="1" xfId="3" applyNumberFormat="1" applyFont="1" applyBorder="1" applyAlignment="1" applyProtection="1">
      <alignment horizontal="center"/>
      <protection locked="0"/>
    </xf>
    <xf numFmtId="164" fontId="13" fillId="0" borderId="1" xfId="3" applyNumberFormat="1" applyFont="1" applyBorder="1" applyAlignment="1" applyProtection="1">
      <alignment horizontal="right"/>
      <protection locked="0"/>
    </xf>
    <xf numFmtId="0" fontId="30" fillId="0" borderId="1" xfId="3" applyFont="1" applyBorder="1" applyAlignment="1" applyProtection="1">
      <alignment horizontal="left" vertical="top"/>
      <protection locked="0"/>
    </xf>
    <xf numFmtId="164" fontId="13" fillId="0" borderId="45" xfId="4" applyNumberFormat="1" applyFont="1" applyFill="1" applyBorder="1" applyAlignment="1">
      <alignment vertical="center"/>
    </xf>
    <xf numFmtId="164" fontId="13" fillId="0" borderId="1" xfId="4" applyNumberFormat="1" applyFont="1" applyFill="1" applyBorder="1" applyAlignment="1">
      <alignment vertical="center"/>
    </xf>
    <xf numFmtId="164" fontId="13" fillId="0" borderId="30" xfId="4" applyNumberFormat="1" applyFont="1" applyFill="1" applyBorder="1" applyAlignment="1">
      <alignment vertical="center"/>
    </xf>
    <xf numFmtId="2" fontId="33" fillId="0" borderId="24" xfId="3" applyNumberFormat="1" applyFont="1" applyBorder="1" applyProtection="1">
      <alignment vertical="top"/>
      <protection locked="0"/>
    </xf>
    <xf numFmtId="2" fontId="33" fillId="0" borderId="1" xfId="3" applyNumberFormat="1" applyFont="1" applyBorder="1" applyProtection="1">
      <alignment vertical="top"/>
      <protection locked="0"/>
    </xf>
    <xf numFmtId="0" fontId="34" fillId="0" borderId="1" xfId="3" applyFont="1" applyBorder="1" applyAlignment="1" applyProtection="1">
      <alignment horizontal="left" vertical="top"/>
      <protection locked="0"/>
    </xf>
    <xf numFmtId="164" fontId="12" fillId="0" borderId="1" xfId="3" applyNumberFormat="1" applyFont="1" applyBorder="1" applyAlignment="1" applyProtection="1">
      <alignment horizontal="right" wrapText="1"/>
    </xf>
    <xf numFmtId="0" fontId="34" fillId="0" borderId="1" xfId="3" applyFont="1" applyBorder="1" applyAlignment="1" applyProtection="1">
      <alignment wrapText="1"/>
    </xf>
    <xf numFmtId="2" fontId="35" fillId="0" borderId="1" xfId="3" applyNumberFormat="1" applyFont="1" applyBorder="1" applyAlignment="1" applyProtection="1">
      <alignment horizontal="right" wrapText="1"/>
    </xf>
    <xf numFmtId="164" fontId="13" fillId="0" borderId="24" xfId="3" applyNumberFormat="1" applyFont="1" applyBorder="1" applyAlignment="1" applyProtection="1">
      <alignment horizontal="right"/>
      <protection locked="0"/>
    </xf>
    <xf numFmtId="164" fontId="13" fillId="0" borderId="45" xfId="4" applyNumberFormat="1" applyFont="1" applyFill="1" applyBorder="1" applyAlignment="1">
      <alignment horizontal="right" vertical="center"/>
    </xf>
    <xf numFmtId="164" fontId="13" fillId="0" borderId="1" xfId="4" applyNumberFormat="1" applyFont="1" applyFill="1" applyBorder="1" applyAlignment="1">
      <alignment horizontal="right" vertical="center"/>
    </xf>
    <xf numFmtId="164" fontId="13" fillId="0" borderId="68" xfId="4" applyNumberFormat="1" applyFont="1" applyFill="1" applyBorder="1" applyAlignment="1">
      <alignment horizontal="right" vertical="center"/>
    </xf>
    <xf numFmtId="164" fontId="13" fillId="0" borderId="30" xfId="4" applyNumberFormat="1" applyFont="1" applyFill="1" applyBorder="1" applyAlignment="1">
      <alignment horizontal="right" vertical="center"/>
    </xf>
    <xf numFmtId="164" fontId="36" fillId="0" borderId="45" xfId="4" applyNumberFormat="1" applyFont="1" applyFill="1" applyBorder="1" applyAlignment="1">
      <alignment horizontal="right" vertical="center"/>
    </xf>
    <xf numFmtId="164" fontId="36" fillId="0" borderId="1" xfId="4" applyNumberFormat="1" applyFont="1" applyFill="1" applyBorder="1" applyAlignment="1">
      <alignment horizontal="right" vertical="center"/>
    </xf>
    <xf numFmtId="0" fontId="36" fillId="0" borderId="11" xfId="0" applyFont="1" applyBorder="1" applyAlignment="1" applyProtection="1"/>
    <xf numFmtId="0" fontId="37" fillId="0" borderId="1" xfId="0" applyFont="1" applyFill="1" applyBorder="1" applyAlignment="1" applyProtection="1"/>
    <xf numFmtId="0" fontId="36" fillId="0" borderId="34" xfId="0" applyFont="1" applyBorder="1" applyAlignment="1" applyProtection="1"/>
    <xf numFmtId="0" fontId="37" fillId="0" borderId="14" xfId="0" applyFont="1" applyFill="1" applyBorder="1" applyAlignment="1" applyProtection="1"/>
    <xf numFmtId="3" fontId="36" fillId="0" borderId="8" xfId="0" applyNumberFormat="1" applyFont="1" applyBorder="1" applyAlignment="1" applyProtection="1">
      <protection locked="0"/>
    </xf>
    <xf numFmtId="167" fontId="13" fillId="0" borderId="1" xfId="0" applyNumberFormat="1" applyFont="1" applyFill="1" applyBorder="1" applyAlignment="1" applyProtection="1">
      <alignment horizontal="center" vertical="top"/>
      <protection locked="0"/>
    </xf>
    <xf numFmtId="167" fontId="13" fillId="0" borderId="14" xfId="0" applyNumberFormat="1" applyFont="1" applyFill="1" applyBorder="1" applyAlignment="1" applyProtection="1">
      <alignment horizontal="center" vertical="top"/>
      <protection locked="0"/>
    </xf>
    <xf numFmtId="167" fontId="13" fillId="2" borderId="0" xfId="0" applyNumberFormat="1" applyFont="1" applyFill="1" applyBorder="1" applyAlignment="1" applyProtection="1">
      <alignment horizontal="center" vertical="top"/>
      <protection locked="0"/>
    </xf>
    <xf numFmtId="167" fontId="17" fillId="12" borderId="30" xfId="0" applyNumberFormat="1" applyFont="1" applyFill="1" applyBorder="1" applyAlignment="1" applyProtection="1">
      <alignment horizontal="center" wrapText="1"/>
      <protection locked="0"/>
    </xf>
    <xf numFmtId="167" fontId="13" fillId="2" borderId="47" xfId="0" applyNumberFormat="1" applyFont="1" applyFill="1" applyBorder="1" applyAlignment="1" applyProtection="1">
      <alignment horizontal="center" vertical="top"/>
      <protection locked="0"/>
    </xf>
    <xf numFmtId="167" fontId="36" fillId="0" borderId="1" xfId="0" applyNumberFormat="1" applyFont="1" applyFill="1" applyBorder="1" applyAlignment="1" applyProtection="1">
      <alignment horizontal="center" vertical="top"/>
      <protection locked="0"/>
    </xf>
    <xf numFmtId="167" fontId="36" fillId="0" borderId="14" xfId="0" applyNumberFormat="1" applyFont="1" applyFill="1" applyBorder="1" applyAlignment="1" applyProtection="1">
      <alignment horizontal="center" vertical="top"/>
      <protection locked="0"/>
    </xf>
    <xf numFmtId="167" fontId="13" fillId="2" borderId="11" xfId="0" applyNumberFormat="1" applyFont="1" applyFill="1" applyBorder="1" applyAlignment="1" applyProtection="1">
      <alignment horizontal="center" vertical="top"/>
      <protection locked="0"/>
    </xf>
    <xf numFmtId="167" fontId="13" fillId="0" borderId="30" xfId="0" applyNumberFormat="1" applyFont="1" applyFill="1" applyBorder="1" applyAlignment="1" applyProtection="1">
      <alignment horizontal="center" vertical="top"/>
      <protection locked="0"/>
    </xf>
    <xf numFmtId="167" fontId="13" fillId="0" borderId="12" xfId="0" applyNumberFormat="1" applyFont="1" applyFill="1" applyBorder="1" applyAlignment="1" applyProtection="1">
      <alignment horizontal="center" vertical="top"/>
      <protection locked="0"/>
    </xf>
    <xf numFmtId="167" fontId="13" fillId="0" borderId="19" xfId="0" applyNumberFormat="1" applyFont="1" applyFill="1" applyBorder="1" applyAlignment="1" applyProtection="1">
      <alignment horizontal="center" vertical="top"/>
      <protection locked="0"/>
    </xf>
    <xf numFmtId="167" fontId="13" fillId="2" borderId="20" xfId="0" applyNumberFormat="1" applyFont="1" applyFill="1" applyBorder="1" applyAlignment="1" applyProtection="1">
      <alignment horizontal="center" vertical="top"/>
      <protection locked="0"/>
    </xf>
    <xf numFmtId="167" fontId="13" fillId="0" borderId="15" xfId="0" applyNumberFormat="1" applyFont="1" applyFill="1" applyBorder="1" applyAlignment="1" applyProtection="1">
      <alignment horizontal="center" vertical="top"/>
      <protection locked="0"/>
    </xf>
    <xf numFmtId="167" fontId="17" fillId="12" borderId="48" xfId="0" applyNumberFormat="1" applyFont="1" applyFill="1" applyBorder="1" applyAlignment="1" applyProtection="1">
      <alignment horizontal="center" wrapText="1"/>
      <protection locked="0"/>
    </xf>
    <xf numFmtId="167" fontId="13" fillId="2" borderId="49" xfId="0" applyNumberFormat="1" applyFont="1" applyFill="1" applyBorder="1" applyAlignment="1" applyProtection="1">
      <alignment horizontal="center" vertical="top"/>
      <protection locked="0"/>
    </xf>
    <xf numFmtId="167" fontId="36" fillId="0" borderId="12" xfId="0" applyNumberFormat="1" applyFont="1" applyFill="1" applyBorder="1" applyAlignment="1" applyProtection="1">
      <alignment horizontal="center" vertical="top"/>
      <protection locked="0"/>
    </xf>
    <xf numFmtId="167" fontId="36" fillId="0" borderId="15" xfId="0" applyNumberFormat="1" applyFont="1" applyFill="1" applyBorder="1" applyAlignment="1" applyProtection="1">
      <alignment horizontal="center" vertical="top"/>
      <protection locked="0"/>
    </xf>
    <xf numFmtId="167" fontId="13" fillId="2" borderId="25" xfId="0" applyNumberFormat="1" applyFont="1" applyFill="1" applyBorder="1" applyAlignment="1" applyProtection="1">
      <alignment horizontal="center" vertical="top"/>
      <protection locked="0"/>
    </xf>
    <xf numFmtId="167" fontId="13" fillId="0" borderId="28" xfId="0" applyNumberFormat="1" applyFont="1" applyFill="1" applyBorder="1" applyAlignment="1" applyProtection="1">
      <alignment horizontal="center" vertical="top"/>
      <protection locked="0"/>
    </xf>
    <xf numFmtId="0" fontId="13" fillId="0" borderId="1" xfId="0" applyFont="1" applyFill="1" applyBorder="1" applyAlignment="1" applyProtection="1">
      <alignment horizontal="center"/>
      <protection locked="0"/>
    </xf>
    <xf numFmtId="0" fontId="36" fillId="0" borderId="1" xfId="0" applyFont="1" applyFill="1" applyBorder="1" applyAlignment="1" applyProtection="1">
      <alignment horizontal="center"/>
      <protection locked="0"/>
    </xf>
    <xf numFmtId="0" fontId="36" fillId="0" borderId="14" xfId="0" applyFont="1" applyFill="1" applyBorder="1" applyAlignment="1" applyProtection="1">
      <alignment horizontal="center"/>
      <protection locked="0"/>
    </xf>
    <xf numFmtId="0" fontId="13" fillId="0" borderId="30" xfId="0" applyFont="1" applyFill="1" applyBorder="1" applyAlignment="1" applyProtection="1">
      <alignment horizontal="center"/>
      <protection locked="0"/>
    </xf>
    <xf numFmtId="167" fontId="13" fillId="18" borderId="1" xfId="0" applyNumberFormat="1" applyFont="1" applyFill="1" applyBorder="1" applyAlignment="1" applyProtection="1">
      <alignment horizontal="center" vertical="top"/>
      <protection locked="0"/>
    </xf>
    <xf numFmtId="0" fontId="16" fillId="18" borderId="1" xfId="0" applyFont="1" applyFill="1" applyBorder="1" applyAlignment="1" applyProtection="1"/>
    <xf numFmtId="167" fontId="13" fillId="18" borderId="12" xfId="0" applyNumberFormat="1" applyFont="1" applyFill="1" applyBorder="1" applyAlignment="1" applyProtection="1">
      <alignment horizontal="center" vertical="top"/>
      <protection locked="0"/>
    </xf>
    <xf numFmtId="165" fontId="13" fillId="18" borderId="1" xfId="0" applyNumberFormat="1" applyFont="1" applyFill="1" applyBorder="1" applyProtection="1">
      <alignment vertical="top"/>
    </xf>
    <xf numFmtId="164" fontId="13" fillId="18" borderId="1" xfId="0" applyNumberFormat="1" applyFont="1" applyFill="1" applyBorder="1" applyProtection="1">
      <alignment vertical="top"/>
      <protection locked="0"/>
    </xf>
    <xf numFmtId="167" fontId="13" fillId="18" borderId="14" xfId="0" applyNumberFormat="1" applyFont="1" applyFill="1" applyBorder="1" applyAlignment="1" applyProtection="1">
      <alignment horizontal="center" vertical="top"/>
      <protection locked="0"/>
    </xf>
    <xf numFmtId="0" fontId="16" fillId="18" borderId="14" xfId="0" applyFont="1" applyFill="1" applyBorder="1" applyAlignment="1" applyProtection="1"/>
    <xf numFmtId="167" fontId="13" fillId="18" borderId="15" xfId="0" applyNumberFormat="1" applyFont="1" applyFill="1" applyBorder="1" applyAlignment="1" applyProtection="1">
      <alignment horizontal="center" vertical="top"/>
      <protection locked="0"/>
    </xf>
    <xf numFmtId="0" fontId="6" fillId="5" borderId="0" xfId="0" applyFont="1" applyFill="1" applyBorder="1" applyAlignment="1">
      <alignment horizontal="center" vertical="top"/>
    </xf>
    <xf numFmtId="0" fontId="6" fillId="9" borderId="0" xfId="0" applyFont="1" applyFill="1" applyBorder="1" applyAlignment="1">
      <alignment horizontal="center" vertical="top"/>
    </xf>
    <xf numFmtId="0" fontId="6" fillId="10" borderId="0" xfId="0" applyFont="1" applyFill="1" applyBorder="1" applyAlignment="1">
      <alignment horizontal="center" vertical="top"/>
    </xf>
    <xf numFmtId="0" fontId="8" fillId="0" borderId="11" xfId="0" applyFont="1" applyBorder="1" applyAlignment="1">
      <alignment vertical="top" wrapText="1"/>
    </xf>
    <xf numFmtId="0" fontId="0" fillId="0" borderId="68" xfId="0" applyBorder="1" applyAlignment="1">
      <alignment vertical="top" wrapText="1"/>
    </xf>
    <xf numFmtId="164" fontId="2" fillId="0" borderId="1" xfId="0" quotePrefix="1" applyNumberFormat="1" applyFont="1" applyBorder="1" applyAlignment="1" applyProtection="1">
      <alignment horizontal="center"/>
    </xf>
    <xf numFmtId="164" fontId="2" fillId="0" borderId="1" xfId="0" applyNumberFormat="1" applyFont="1" applyBorder="1" applyAlignment="1" applyProtection="1">
      <alignment horizontal="center"/>
    </xf>
    <xf numFmtId="164" fontId="12" fillId="17" borderId="73" xfId="0" applyNumberFormat="1" applyFont="1" applyFill="1" applyBorder="1" applyAlignment="1" applyProtection="1">
      <alignment horizontal="center" vertical="top"/>
    </xf>
    <xf numFmtId="164" fontId="12" fillId="17" borderId="0" xfId="0" applyNumberFormat="1" applyFont="1" applyFill="1" applyBorder="1" applyAlignment="1" applyProtection="1">
      <alignment horizontal="center" vertical="top"/>
    </xf>
    <xf numFmtId="0" fontId="18" fillId="0" borderId="0" xfId="0" applyFont="1" applyFill="1" applyBorder="1" applyAlignment="1" applyProtection="1">
      <alignment horizontal="center"/>
      <protection locked="0"/>
    </xf>
    <xf numFmtId="0" fontId="17" fillId="12" borderId="45" xfId="0" applyFont="1" applyFill="1" applyBorder="1" applyAlignment="1" applyProtection="1">
      <alignment horizontal="center" wrapText="1"/>
      <protection locked="0"/>
    </xf>
    <xf numFmtId="0" fontId="17" fillId="12" borderId="30" xfId="0" applyFont="1" applyFill="1" applyBorder="1" applyAlignment="1">
      <alignment horizontal="center" wrapText="1"/>
    </xf>
    <xf numFmtId="0" fontId="17" fillId="12" borderId="22" xfId="0" applyFont="1" applyFill="1" applyBorder="1" applyAlignment="1">
      <alignment horizontal="center" wrapText="1"/>
    </xf>
    <xf numFmtId="0" fontId="17" fillId="12" borderId="59" xfId="0" applyFont="1" applyFill="1" applyBorder="1" applyAlignment="1" applyProtection="1">
      <alignment horizontal="center" wrapText="1"/>
      <protection locked="0"/>
    </xf>
    <xf numFmtId="0" fontId="17" fillId="12" borderId="48" xfId="0" applyFont="1" applyFill="1" applyBorder="1" applyAlignment="1">
      <alignment horizontal="center" wrapText="1"/>
    </xf>
    <xf numFmtId="0" fontId="17" fillId="12" borderId="74" xfId="0" applyFont="1" applyFill="1" applyBorder="1" applyAlignment="1">
      <alignment horizontal="center" wrapText="1"/>
    </xf>
    <xf numFmtId="164" fontId="23" fillId="0" borderId="0" xfId="0" applyNumberFormat="1" applyFont="1" applyFill="1" applyAlignment="1" applyProtection="1">
      <alignment horizontal="center" vertical="center"/>
    </xf>
    <xf numFmtId="0" fontId="23" fillId="0" borderId="0" xfId="0" applyFont="1" applyFill="1" applyAlignment="1" applyProtection="1">
      <alignment horizontal="center" vertical="center"/>
    </xf>
    <xf numFmtId="2" fontId="12" fillId="4" borderId="69" xfId="0" applyNumberFormat="1" applyFont="1" applyFill="1" applyBorder="1" applyAlignment="1" applyProtection="1">
      <alignment horizontal="right" vertical="top"/>
      <protection locked="0"/>
    </xf>
    <xf numFmtId="2" fontId="12" fillId="4" borderId="70" xfId="0" applyNumberFormat="1" applyFont="1" applyFill="1" applyBorder="1" applyAlignment="1" applyProtection="1">
      <alignment horizontal="right" vertical="top"/>
      <protection locked="0"/>
    </xf>
    <xf numFmtId="2" fontId="12" fillId="4" borderId="71" xfId="0" applyNumberFormat="1" applyFont="1" applyFill="1" applyBorder="1" applyAlignment="1" applyProtection="1">
      <alignment horizontal="right" vertical="top"/>
      <protection locked="0"/>
    </xf>
    <xf numFmtId="2" fontId="18" fillId="0" borderId="0" xfId="0" applyNumberFormat="1" applyFont="1" applyFill="1" applyBorder="1" applyAlignment="1" applyProtection="1">
      <alignment horizontal="left"/>
      <protection locked="0"/>
    </xf>
    <xf numFmtId="0" fontId="12" fillId="2" borderId="11" xfId="0" applyFont="1" applyFill="1" applyBorder="1" applyAlignment="1" applyProtection="1">
      <alignment horizontal="left"/>
      <protection locked="0"/>
    </xf>
    <xf numFmtId="3" fontId="12" fillId="2" borderId="47" xfId="0" applyNumberFormat="1" applyFont="1" applyFill="1" applyBorder="1" applyAlignment="1" applyProtection="1">
      <alignment horizontal="left"/>
      <protection locked="0"/>
    </xf>
    <xf numFmtId="3" fontId="12" fillId="2" borderId="72" xfId="0" applyNumberFormat="1" applyFont="1" applyFill="1" applyBorder="1" applyAlignment="1" applyProtection="1">
      <alignment horizontal="left"/>
      <protection locked="0"/>
    </xf>
    <xf numFmtId="0" fontId="12" fillId="2" borderId="8" xfId="0" applyFont="1" applyFill="1" applyBorder="1" applyAlignment="1" applyProtection="1">
      <alignment horizontal="left"/>
      <protection locked="0"/>
    </xf>
    <xf numFmtId="0" fontId="12" fillId="2" borderId="72" xfId="0" applyFont="1" applyFill="1" applyBorder="1" applyAlignment="1" applyProtection="1">
      <alignment horizontal="left"/>
      <protection locked="0"/>
    </xf>
    <xf numFmtId="0" fontId="12" fillId="2" borderId="47" xfId="0" applyFont="1" applyFill="1" applyBorder="1" applyAlignment="1" applyProtection="1">
      <alignment horizontal="left"/>
      <protection locked="0"/>
    </xf>
    <xf numFmtId="0" fontId="12" fillId="2" borderId="75" xfId="7" applyFont="1" applyFill="1" applyBorder="1" applyAlignment="1" applyProtection="1">
      <alignment horizontal="center" wrapText="1"/>
    </xf>
    <xf numFmtId="0" fontId="0" fillId="0" borderId="76" xfId="0" applyBorder="1" applyAlignment="1" applyProtection="1">
      <alignment horizontal="center"/>
    </xf>
    <xf numFmtId="0" fontId="12" fillId="2" borderId="75" xfId="7" applyFont="1" applyFill="1" applyBorder="1" applyAlignment="1" applyProtection="1">
      <alignment horizontal="center"/>
    </xf>
    <xf numFmtId="0" fontId="0" fillId="0" borderId="76" xfId="0" applyBorder="1" applyAlignment="1">
      <alignment horizontal="center"/>
    </xf>
    <xf numFmtId="49" fontId="19" fillId="0" borderId="35" xfId="7" applyNumberFormat="1" applyFont="1" applyBorder="1" applyAlignment="1" applyProtection="1">
      <alignment horizontal="left" vertical="top"/>
      <protection locked="0"/>
    </xf>
    <xf numFmtId="49" fontId="0" fillId="0" borderId="8" xfId="0" applyNumberFormat="1" applyBorder="1" applyAlignment="1">
      <alignment horizontal="left" vertical="top"/>
    </xf>
    <xf numFmtId="49" fontId="0" fillId="0" borderId="37" xfId="0" applyNumberFormat="1" applyBorder="1" applyAlignment="1">
      <alignment horizontal="left" vertical="top"/>
    </xf>
    <xf numFmtId="49" fontId="23" fillId="0" borderId="0" xfId="0" applyNumberFormat="1" applyFont="1" applyFill="1" applyBorder="1" applyAlignment="1" applyProtection="1">
      <alignment horizontal="center" vertical="center"/>
    </xf>
    <xf numFmtId="0" fontId="0" fillId="0" borderId="0" xfId="0" applyAlignment="1">
      <alignment vertical="top"/>
    </xf>
    <xf numFmtId="0" fontId="12" fillId="0" borderId="11" xfId="7" applyFont="1" applyBorder="1" applyAlignment="1" applyProtection="1">
      <alignment horizontal="left"/>
    </xf>
    <xf numFmtId="0" fontId="0" fillId="0" borderId="11" xfId="0" applyBorder="1" applyAlignment="1" applyProtection="1">
      <alignment horizontal="left"/>
    </xf>
    <xf numFmtId="2" fontId="12" fillId="0" borderId="0" xfId="0" applyNumberFormat="1" applyFont="1" applyFill="1" applyBorder="1" applyAlignment="1" applyProtection="1">
      <alignment horizontal="left"/>
    </xf>
    <xf numFmtId="2" fontId="12" fillId="0" borderId="0" xfId="0" applyNumberFormat="1" applyFont="1" applyBorder="1" applyAlignment="1" applyProtection="1">
      <alignment horizontal="left"/>
    </xf>
    <xf numFmtId="0" fontId="0" fillId="0" borderId="0" xfId="0" applyBorder="1" applyAlignment="1" applyProtection="1"/>
    <xf numFmtId="49" fontId="12" fillId="2" borderId="8" xfId="0" applyNumberFormat="1" applyFont="1" applyFill="1" applyBorder="1" applyAlignment="1" applyProtection="1">
      <alignment horizontal="center"/>
    </xf>
    <xf numFmtId="49" fontId="7" fillId="0" borderId="8" xfId="0" applyNumberFormat="1" applyFont="1" applyBorder="1" applyAlignment="1" applyProtection="1">
      <alignment horizontal="center"/>
    </xf>
    <xf numFmtId="49" fontId="7" fillId="0" borderId="37" xfId="0" applyNumberFormat="1" applyFont="1" applyBorder="1" applyAlignment="1" applyProtection="1">
      <alignment horizontal="center"/>
    </xf>
    <xf numFmtId="2" fontId="23" fillId="0" borderId="0" xfId="0" applyNumberFormat="1" applyFont="1" applyFill="1" applyBorder="1" applyAlignment="1" applyProtection="1">
      <alignment horizontal="center"/>
    </xf>
    <xf numFmtId="0" fontId="18" fillId="0" borderId="0" xfId="0" applyFont="1" applyAlignment="1" applyProtection="1">
      <alignment horizontal="center" vertical="center"/>
    </xf>
    <xf numFmtId="0" fontId="0" fillId="0" borderId="0" xfId="0" applyAlignment="1">
      <alignment horizontal="center" vertical="top"/>
    </xf>
    <xf numFmtId="2" fontId="19" fillId="0" borderId="0" xfId="0" applyNumberFormat="1" applyFont="1" applyAlignment="1" applyProtection="1"/>
    <xf numFmtId="0" fontId="23" fillId="0" borderId="0" xfId="0" applyFont="1" applyAlignment="1" applyProtection="1">
      <alignment horizontal="center" vertical="center"/>
    </xf>
  </cellXfs>
  <cellStyles count="8">
    <cellStyle name="Comma 2" xfId="1"/>
    <cellStyle name="Comma 2 2" xfId="2"/>
    <cellStyle name="Normal" xfId="0" builtinId="0"/>
    <cellStyle name="Normal 2" xfId="3"/>
    <cellStyle name="Normal 2 2" xfId="4"/>
    <cellStyle name="Normal 3" xfId="5"/>
    <cellStyle name="Normal 4" xfId="6"/>
    <cellStyle name="Normal_Book2" xfId="7"/>
  </cellStyles>
  <dxfs count="4">
    <dxf>
      <font>
        <b/>
        <i val="0"/>
        <condense val="0"/>
        <extend val="0"/>
      </font>
      <fill>
        <patternFill>
          <bgColor indexed="10"/>
        </patternFill>
      </fill>
    </dxf>
    <dxf>
      <font>
        <b/>
        <i val="0"/>
        <condense val="0"/>
        <extend val="0"/>
        <color auto="1"/>
      </font>
      <fill>
        <patternFill>
          <bgColor indexed="10"/>
        </patternFill>
      </fill>
    </dxf>
    <dxf>
      <font>
        <b/>
        <i val="0"/>
        <strike val="0"/>
        <condense val="0"/>
        <extend val="0"/>
      </font>
      <fill>
        <patternFill>
          <bgColor indexed="10"/>
        </patternFill>
      </fill>
    </dxf>
    <dxf>
      <font>
        <condense val="0"/>
        <extend val="0"/>
        <color auto="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11.xml"/><Relationship Id="rId13" Type="http://schemas.openxmlformats.org/officeDocument/2006/relationships/revisionLog" Target="revisionLog1.xml"/><Relationship Id="rId7" Type="http://schemas.openxmlformats.org/officeDocument/2006/relationships/revisionLog" Target="revisionLog12.xml"/><Relationship Id="rId12" Type="http://schemas.openxmlformats.org/officeDocument/2006/relationships/revisionLog" Target="revisionLog13.xml"/><Relationship Id="rId6" Type="http://schemas.openxmlformats.org/officeDocument/2006/relationships/revisionLog" Target="revisionLog121.xml"/><Relationship Id="rId11" Type="http://schemas.openxmlformats.org/officeDocument/2006/relationships/revisionLog" Target="revisionLog131.xml"/><Relationship Id="rId5" Type="http://schemas.openxmlformats.org/officeDocument/2006/relationships/revisionLog" Target="revisionLog1211.xml"/><Relationship Id="rId10" Type="http://schemas.openxmlformats.org/officeDocument/2006/relationships/revisionLog" Target="revisionLog1311.xml"/><Relationship Id="rId9" Type="http://schemas.openxmlformats.org/officeDocument/2006/relationships/revisionLog" Target="revisionLog13111.xml"/></Relationships>
</file>

<file path=xl/revisions/revisionHeaders.xml><?xml version="1.0" encoding="utf-8"?>
<headers xmlns="http://schemas.openxmlformats.org/spreadsheetml/2006/main" xmlns:r="http://schemas.openxmlformats.org/officeDocument/2006/relationships" guid="{F4632E3E-E2EC-4F66-9E53-74CEAD4E6BA9}" diskRevisions="1" revisionId="199" version="2">
  <header guid="{F1AF4C24-AA1F-4FB1-9717-A08E74C3F0F1}" dateTime="2016-08-24T09:50:13" maxSheetId="8" userName="millerre" r:id="rId5">
    <sheetIdMap count="7">
      <sheetId val="1"/>
      <sheetId val="2"/>
      <sheetId val="3"/>
      <sheetId val="4"/>
      <sheetId val="5"/>
      <sheetId val="6"/>
      <sheetId val="7"/>
    </sheetIdMap>
  </header>
  <header guid="{392B1093-4C69-4D1B-8ABA-BD8A183522BF}" dateTime="2016-08-24T10:06:56" maxSheetId="8" userName="THIRUNI" r:id="rId6" minRId="89" maxRId="90">
    <sheetIdMap count="7">
      <sheetId val="1"/>
      <sheetId val="2"/>
      <sheetId val="3"/>
      <sheetId val="4"/>
      <sheetId val="5"/>
      <sheetId val="6"/>
      <sheetId val="7"/>
    </sheetIdMap>
  </header>
  <header guid="{1EAA38E6-3081-424A-9960-8D71BC5BEC1A}" dateTime="2016-08-24T10:22:06" maxSheetId="8" userName="THIRUNI" r:id="rId7" minRId="98" maxRId="100">
    <sheetIdMap count="7">
      <sheetId val="1"/>
      <sheetId val="2"/>
      <sheetId val="3"/>
      <sheetId val="4"/>
      <sheetId val="5"/>
      <sheetId val="6"/>
      <sheetId val="7"/>
    </sheetIdMap>
  </header>
  <header guid="{99C875B9-11EA-409F-847A-A14BAA56F7F8}" dateTime="2016-08-24T10:22:18" maxSheetId="8" userName="THIRUNI" r:id="rId8">
    <sheetIdMap count="7">
      <sheetId val="1"/>
      <sheetId val="2"/>
      <sheetId val="3"/>
      <sheetId val="4"/>
      <sheetId val="5"/>
      <sheetId val="6"/>
      <sheetId val="7"/>
    </sheetIdMap>
  </header>
  <header guid="{E949049E-CB39-4C57-BC04-6DFEC17D1013}" dateTime="2016-08-24T10:26:06" maxSheetId="8" userName="THIRUNI" r:id="rId9">
    <sheetIdMap count="7">
      <sheetId val="1"/>
      <sheetId val="2"/>
      <sheetId val="3"/>
      <sheetId val="4"/>
      <sheetId val="5"/>
      <sheetId val="6"/>
      <sheetId val="7"/>
    </sheetIdMap>
  </header>
  <header guid="{160C6637-2141-457E-9F12-494A19951292}" dateTime="2016-09-01T15:21:26" maxSheetId="8" userName="millerre" r:id="rId10" minRId="122" maxRId="160">
    <sheetIdMap count="7">
      <sheetId val="1"/>
      <sheetId val="2"/>
      <sheetId val="3"/>
      <sheetId val="4"/>
      <sheetId val="5"/>
      <sheetId val="6"/>
      <sheetId val="7"/>
    </sheetIdMap>
  </header>
  <header guid="{F49BA99E-CEFA-4807-A753-8284EE996E6A}" dateTime="2016-09-08T17:38:19" maxSheetId="8" userName="millerre" r:id="rId11" minRId="168" maxRId="184">
    <sheetIdMap count="7">
      <sheetId val="1"/>
      <sheetId val="2"/>
      <sheetId val="3"/>
      <sheetId val="4"/>
      <sheetId val="5"/>
      <sheetId val="6"/>
      <sheetId val="7"/>
    </sheetIdMap>
  </header>
  <header guid="{AC2CDE8B-2B79-46CE-84E9-A49381CC434B}" dateTime="2016-09-21T08:21:19" maxSheetId="8" userName="girardl" r:id="rId12" minRId="185">
    <sheetIdMap count="7">
      <sheetId val="1"/>
      <sheetId val="2"/>
      <sheetId val="3"/>
      <sheetId val="4"/>
      <sheetId val="5"/>
      <sheetId val="6"/>
      <sheetId val="7"/>
    </sheetIdMap>
  </header>
  <header guid="{F4632E3E-E2EC-4F66-9E53-74CEAD4E6BA9}" dateTime="2016-09-21T10:47:04" maxSheetId="8" userName="webberr" r:id="rId13">
    <sheetIdMap count="7">
      <sheetId val="1"/>
      <sheetId val="2"/>
      <sheetId val="3"/>
      <sheetId val="4"/>
      <sheetId val="5"/>
      <sheetId val="6"/>
      <sheetId val="7"/>
    </sheetIdMap>
  </header>
</headers>
</file>

<file path=xl/revisions/revisionLog1.xml><?xml version="1.0" encoding="utf-8"?>
<revisions xmlns="http://schemas.openxmlformats.org/spreadsheetml/2006/main" xmlns:r="http://schemas.openxmlformats.org/officeDocument/2006/relationships">
  <rdn rId="0" localSheetId="1" customView="1" name="Z_AB1FFAD6_1D3B_42E3_A3A7_9220125B4B05_.wvu.PrintArea" hidden="1" oldHidden="1">
    <formula>'Form Instructions'!$A$1:$B$48</formula>
  </rdn>
  <rdn rId="0" localSheetId="2" customView="1" name="Z_AB1FFAD6_1D3B_42E3_A3A7_9220125B4B05_.wvu.PrintArea" hidden="1" oldHidden="1">
    <formula>Budget!$A$1:$U$82</formula>
  </rdn>
  <rdn rId="0" localSheetId="2" customView="1" name="Z_AB1FFAD6_1D3B_42E3_A3A7_9220125B4B05_.wvu.PrintTitles" hidden="1" oldHidden="1">
    <formula>Budget!$5:$6</formula>
  </rdn>
  <rdn rId="0" localSheetId="2" customView="1" name="Z_AB1FFAD6_1D3B_42E3_A3A7_9220125B4B05_.wvu.Rows" hidden="1" oldHidden="1">
    <formula>Budget!$84:$85</formula>
  </rdn>
  <rdn rId="0" localSheetId="2" customView="1" name="Z_AB1FFAD6_1D3B_42E3_A3A7_9220125B4B05_.wvu.FilterData" hidden="1" oldHidden="1">
    <formula>Budget!$A$11:$U$44</formula>
  </rdn>
  <rdn rId="0" localSheetId="4" customView="1" name="Z_AB1FFAD6_1D3B_42E3_A3A7_9220125B4B05_.wvu.PrintArea" hidden="1" oldHidden="1">
    <formula>'XIX-OAA-OPI Staffing Plan'!$A$1:$L$39</formula>
  </rdn>
  <rdn rId="0" localSheetId="4" customView="1" name="Z_AB1FFAD6_1D3B_42E3_A3A7_9220125B4B05_.wvu.PrintTitles" hidden="1" oldHidden="1">
    <formula>'XIX-OAA-OPI Staffing Plan'!$18:$19</formula>
  </rdn>
  <rcv guid="{AB1FFAD6-1D3B-42E3-A3A7-9220125B4B05}" action="add"/>
</revisions>
</file>

<file path=xl/revisions/revisionLog11.xml><?xml version="1.0" encoding="utf-8"?>
<revisions xmlns="http://schemas.openxmlformats.org/spreadsheetml/2006/main" xmlns:r="http://schemas.openxmlformats.org/officeDocument/2006/relationships">
  <rcv guid="{6B6D6F50-27BD-4C38-A2D0-F8E35D15D656}" action="delete"/>
  <rdn rId="0" localSheetId="1" customView="1" name="Z_6B6D6F50_27BD_4C38_A2D0_F8E35D15D656_.wvu.PrintArea" hidden="1" oldHidden="1">
    <formula>'Form Instructions'!$A$1:$B$48</formula>
    <oldFormula>'Form Instructions'!$A$1:$B$48</oldFormula>
  </rdn>
  <rdn rId="0" localSheetId="2" customView="1" name="Z_6B6D6F50_27BD_4C38_A2D0_F8E35D15D656_.wvu.PrintArea" hidden="1" oldHidden="1">
    <formula>Budget!$A$1:$U$82</formula>
    <oldFormula>Budget!$A$1:$U$82</oldFormula>
  </rdn>
  <rdn rId="0" localSheetId="2" customView="1" name="Z_6B6D6F50_27BD_4C38_A2D0_F8E35D15D656_.wvu.PrintTitles" hidden="1" oldHidden="1">
    <formula>Budget!$5:$6</formula>
    <oldFormula>Budget!$5:$6</oldFormula>
  </rdn>
  <rdn rId="0" localSheetId="2" customView="1" name="Z_6B6D6F50_27BD_4C38_A2D0_F8E35D15D656_.wvu.Rows" hidden="1" oldHidden="1">
    <formula>Budget!$84:$85</formula>
    <oldFormula>Budget!$84:$85</oldFormula>
  </rdn>
  <rdn rId="0" localSheetId="2" customView="1" name="Z_6B6D6F50_27BD_4C38_A2D0_F8E35D15D656_.wvu.FilterData" hidden="1" oldHidden="1">
    <formula>Budget!$A$11:$U$44</formula>
    <oldFormula>Budget!$A$11:$U$44</oldFormula>
  </rdn>
  <rdn rId="0" localSheetId="4" customView="1" name="Z_6B6D6F50_27BD_4C38_A2D0_F8E35D15D656_.wvu.PrintArea" hidden="1" oldHidden="1">
    <formula>'XIX-OAA-OPI Staffing Plan'!$A$1:$L$39</formula>
    <oldFormula>'XIX-OAA-OPI Staffing Plan'!$A$1:$L$39</oldFormula>
  </rdn>
  <rdn rId="0" localSheetId="4" customView="1" name="Z_6B6D6F50_27BD_4C38_A2D0_F8E35D15D656_.wvu.PrintTitles" hidden="1" oldHidden="1">
    <formula>'XIX-OAA-OPI Staffing Plan'!$18:$19</formula>
    <oldFormula>'XIX-OAA-OPI Staffing Plan'!$18:$19</oldFormula>
  </rdn>
  <rcv guid="{6B6D6F50-27BD-4C38-A2D0-F8E35D15D656}" action="add"/>
</revisions>
</file>

<file path=xl/revisions/revisionLog12.xml><?xml version="1.0" encoding="utf-8"?>
<revisions xmlns="http://schemas.openxmlformats.org/spreadsheetml/2006/main" xmlns:r="http://schemas.openxmlformats.org/officeDocument/2006/relationships">
  <rcc rId="98" sId="2" numFmtId="11">
    <oc r="R8">
      <v>1297020</v>
    </oc>
    <nc r="R8">
      <f>1297020-361830</f>
    </nc>
  </rcc>
  <rcc rId="99" sId="2">
    <oc r="R15">
      <f>18642+99634+180963-57454</f>
    </oc>
    <nc r="R15">
      <f>18642+99634+180963-57454+361830</f>
    </nc>
  </rcc>
  <rcc rId="100" sId="2" numFmtId="11">
    <nc r="P26">
      <v>897189</v>
    </nc>
  </rcc>
  <rcv guid="{6B6D6F50-27BD-4C38-A2D0-F8E35D15D656}" action="delete"/>
  <rdn rId="0" localSheetId="1" customView="1" name="Z_6B6D6F50_27BD_4C38_A2D0_F8E35D15D656_.wvu.PrintArea" hidden="1" oldHidden="1">
    <formula>'Form Instructions'!$A$1:$B$48</formula>
    <oldFormula>'Form Instructions'!$A$1:$B$48</oldFormula>
  </rdn>
  <rdn rId="0" localSheetId="2" customView="1" name="Z_6B6D6F50_27BD_4C38_A2D0_F8E35D15D656_.wvu.PrintArea" hidden="1" oldHidden="1">
    <formula>Budget!$A$1:$U$82</formula>
    <oldFormula>Budget!$A$1:$U$82</oldFormula>
  </rdn>
  <rdn rId="0" localSheetId="2" customView="1" name="Z_6B6D6F50_27BD_4C38_A2D0_F8E35D15D656_.wvu.PrintTitles" hidden="1" oldHidden="1">
    <formula>Budget!$5:$6</formula>
    <oldFormula>Budget!$5:$6</oldFormula>
  </rdn>
  <rdn rId="0" localSheetId="2" customView="1" name="Z_6B6D6F50_27BD_4C38_A2D0_F8E35D15D656_.wvu.Rows" hidden="1" oldHidden="1">
    <formula>Budget!$84:$85</formula>
    <oldFormula>Budget!$84:$85</oldFormula>
  </rdn>
  <rdn rId="0" localSheetId="2" customView="1" name="Z_6B6D6F50_27BD_4C38_A2D0_F8E35D15D656_.wvu.FilterData" hidden="1" oldHidden="1">
    <formula>Budget!$A$11:$U$44</formula>
    <oldFormula>Budget!$A$11:$U$44</oldFormula>
  </rdn>
  <rdn rId="0" localSheetId="4" customView="1" name="Z_6B6D6F50_27BD_4C38_A2D0_F8E35D15D656_.wvu.PrintArea" hidden="1" oldHidden="1">
    <formula>'XIX-OAA-OPI Staffing Plan'!$A$1:$L$39</formula>
    <oldFormula>'XIX-OAA-OPI Staffing Plan'!$A$1:$L$39</oldFormula>
  </rdn>
  <rdn rId="0" localSheetId="4" customView="1" name="Z_6B6D6F50_27BD_4C38_A2D0_F8E35D15D656_.wvu.PrintTitles" hidden="1" oldHidden="1">
    <formula>'XIX-OAA-OPI Staffing Plan'!$18:$19</formula>
    <oldFormula>'XIX-OAA-OPI Staffing Plan'!$18:$19</oldFormula>
  </rdn>
  <rcv guid="{6B6D6F50-27BD-4C38-A2D0-F8E35D15D656}" action="add"/>
</revisions>
</file>

<file path=xl/revisions/revisionLog121.xml><?xml version="1.0" encoding="utf-8"?>
<revisions xmlns="http://schemas.openxmlformats.org/spreadsheetml/2006/main" xmlns:r="http://schemas.openxmlformats.org/officeDocument/2006/relationships">
  <rcc rId="89" sId="2">
    <oc r="R12">
      <f>432670+213947+31966-105697+290630</f>
    </oc>
    <nc r="R12">
      <f>432670+213947+31966-105697+290630-290630</f>
    </nc>
  </rcc>
  <rcc rId="90" sId="2">
    <nc r="R18">
      <f>290630</f>
    </nc>
  </rcc>
  <rdn rId="0" localSheetId="1" customView="1" name="Z_6B6D6F50_27BD_4C38_A2D0_F8E35D15D656_.wvu.PrintArea" hidden="1" oldHidden="1">
    <formula>'Form Instructions'!$A$1:$B$48</formula>
  </rdn>
  <rdn rId="0" localSheetId="2" customView="1" name="Z_6B6D6F50_27BD_4C38_A2D0_F8E35D15D656_.wvu.PrintArea" hidden="1" oldHidden="1">
    <formula>Budget!$A$1:$U$82</formula>
  </rdn>
  <rdn rId="0" localSheetId="2" customView="1" name="Z_6B6D6F50_27BD_4C38_A2D0_F8E35D15D656_.wvu.PrintTitles" hidden="1" oldHidden="1">
    <formula>Budget!$5:$6</formula>
  </rdn>
  <rdn rId="0" localSheetId="2" customView="1" name="Z_6B6D6F50_27BD_4C38_A2D0_F8E35D15D656_.wvu.Rows" hidden="1" oldHidden="1">
    <formula>Budget!$84:$85</formula>
  </rdn>
  <rdn rId="0" localSheetId="2" customView="1" name="Z_6B6D6F50_27BD_4C38_A2D0_F8E35D15D656_.wvu.FilterData" hidden="1" oldHidden="1">
    <formula>Budget!$A$11:$U$44</formula>
  </rdn>
  <rdn rId="0" localSheetId="4" customView="1" name="Z_6B6D6F50_27BD_4C38_A2D0_F8E35D15D656_.wvu.PrintArea" hidden="1" oldHidden="1">
    <formula>'XIX-OAA-OPI Staffing Plan'!$A$1:$L$39</formula>
  </rdn>
  <rdn rId="0" localSheetId="4" customView="1" name="Z_6B6D6F50_27BD_4C38_A2D0_F8E35D15D656_.wvu.PrintTitles" hidden="1" oldHidden="1">
    <formula>'XIX-OAA-OPI Staffing Plan'!$18:$19</formula>
  </rdn>
  <rcv guid="{6B6D6F50-27BD-4C38-A2D0-F8E35D15D656}" action="add"/>
</revisions>
</file>

<file path=xl/revisions/revisionLog1211.xml><?xml version="1.0" encoding="utf-8"?>
<revisions xmlns="http://schemas.openxmlformats.org/spreadsheetml/2006/main" xmlns:r="http://schemas.openxmlformats.org/officeDocument/2006/relationships">
  <rfmt sheetId="2" sqref="B59:G62" start="0" length="2147483647">
    <dxf>
      <font>
        <color theme="1"/>
      </font>
    </dxf>
  </rfmt>
  <rfmt sheetId="2" sqref="B71" start="0" length="2147483647">
    <dxf>
      <font>
        <color theme="1"/>
      </font>
    </dxf>
  </rfmt>
  <rfmt sheetId="2" sqref="B79" start="0" length="2147483647">
    <dxf>
      <font>
        <color theme="1"/>
      </font>
    </dxf>
  </rfmt>
  <rdn rId="0" localSheetId="1" customView="1" name="Z_B5815511_5174_4022_8727_E29AD76A8A57_.wvu.PrintArea" hidden="1" oldHidden="1">
    <formula>'Form Instructions'!$A$1:$B$48</formula>
  </rdn>
  <rdn rId="0" localSheetId="2" customView="1" name="Z_B5815511_5174_4022_8727_E29AD76A8A57_.wvu.PrintArea" hidden="1" oldHidden="1">
    <formula>Budget!$A$1:$U$82</formula>
  </rdn>
  <rdn rId="0" localSheetId="2" customView="1" name="Z_B5815511_5174_4022_8727_E29AD76A8A57_.wvu.PrintTitles" hidden="1" oldHidden="1">
    <formula>Budget!$5:$6</formula>
  </rdn>
  <rdn rId="0" localSheetId="2" customView="1" name="Z_B5815511_5174_4022_8727_E29AD76A8A57_.wvu.Rows" hidden="1" oldHidden="1">
    <formula>Budget!$84:$85</formula>
  </rdn>
  <rdn rId="0" localSheetId="2" customView="1" name="Z_B5815511_5174_4022_8727_E29AD76A8A57_.wvu.FilterData" hidden="1" oldHidden="1">
    <formula>Budget!$A$11:$U$44</formula>
  </rdn>
  <rdn rId="0" localSheetId="4" customView="1" name="Z_B5815511_5174_4022_8727_E29AD76A8A57_.wvu.PrintArea" hidden="1" oldHidden="1">
    <formula>'XIX-OAA-OPI Staffing Plan'!$A$1:$L$39</formula>
  </rdn>
  <rdn rId="0" localSheetId="4" customView="1" name="Z_B5815511_5174_4022_8727_E29AD76A8A57_.wvu.PrintTitles" hidden="1" oldHidden="1">
    <formula>'XIX-OAA-OPI Staffing Plan'!$18:$19</formula>
  </rdn>
  <rcv guid="{B5815511-5174-4022-8727-E29AD76A8A57}" action="add"/>
</revisions>
</file>

<file path=xl/revisions/revisionLog13.xml><?xml version="1.0" encoding="utf-8"?>
<revisions xmlns="http://schemas.openxmlformats.org/spreadsheetml/2006/main" xmlns:r="http://schemas.openxmlformats.org/officeDocument/2006/relationships">
  <rcc rId="185" sId="2" numFmtId="34">
    <oc r="E49">
      <v>2153</v>
    </oc>
    <nc r="E49">
      <v>8612</v>
    </nc>
  </rcc>
  <rdn rId="0" localSheetId="1" customView="1" name="Z_91A667C6_F252_4792_89C6_D1CF90C6139A_.wvu.PrintArea" hidden="1" oldHidden="1">
    <formula>'Form Instructions'!$A$1:$B$48</formula>
  </rdn>
  <rdn rId="0" localSheetId="2" customView="1" name="Z_91A667C6_F252_4792_89C6_D1CF90C6139A_.wvu.PrintArea" hidden="1" oldHidden="1">
    <formula>Budget!$A$1:$U$82</formula>
  </rdn>
  <rdn rId="0" localSheetId="2" customView="1" name="Z_91A667C6_F252_4792_89C6_D1CF90C6139A_.wvu.PrintTitles" hidden="1" oldHidden="1">
    <formula>Budget!$5:$6</formula>
  </rdn>
  <rdn rId="0" localSheetId="2" customView="1" name="Z_91A667C6_F252_4792_89C6_D1CF90C6139A_.wvu.Rows" hidden="1" oldHidden="1">
    <formula>Budget!$84:$85</formula>
  </rdn>
  <rdn rId="0" localSheetId="2" customView="1" name="Z_91A667C6_F252_4792_89C6_D1CF90C6139A_.wvu.FilterData" hidden="1" oldHidden="1">
    <formula>Budget!$A$11:$U$44</formula>
  </rdn>
  <rdn rId="0" localSheetId="4" customView="1" name="Z_91A667C6_F252_4792_89C6_D1CF90C6139A_.wvu.PrintArea" hidden="1" oldHidden="1">
    <formula>'XIX-OAA-OPI Staffing Plan'!$A$1:$L$39</formula>
  </rdn>
  <rdn rId="0" localSheetId="4" customView="1" name="Z_91A667C6_F252_4792_89C6_D1CF90C6139A_.wvu.PrintTitles" hidden="1" oldHidden="1">
    <formula>'XIX-OAA-OPI Staffing Plan'!$18:$19</formula>
  </rdn>
  <rcv guid="{91A667C6-F252-4792-89C6-D1CF90C6139A}" action="add"/>
</revisions>
</file>

<file path=xl/revisions/revisionLog131.xml><?xml version="1.0" encoding="utf-8"?>
<revisions xmlns="http://schemas.openxmlformats.org/spreadsheetml/2006/main" xmlns:r="http://schemas.openxmlformats.org/officeDocument/2006/relationships">
  <rfmt sheetId="2" sqref="E18:G18">
    <dxf>
      <fill>
        <patternFill>
          <bgColor theme="0"/>
        </patternFill>
      </fill>
    </dxf>
  </rfmt>
  <rcc rId="168" sId="2" numFmtId="11">
    <oc r="P26">
      <v>897189</v>
    </oc>
    <nc r="P26">
      <v>229969</v>
    </nc>
  </rcc>
  <rcc rId="169" sId="2" numFmtId="11">
    <oc r="P27">
      <f>114318</f>
    </oc>
    <nc r="P27">
      <v>114318</v>
    </nc>
  </rcc>
  <rcc rId="170" sId="2" numFmtId="11">
    <nc r="P28">
      <v>598126</v>
    </nc>
  </rcc>
  <rcc rId="171" sId="2" numFmtId="34">
    <oc r="E27">
      <v>68641</v>
    </oc>
    <nc r="E27">
      <v>18213</v>
    </nc>
  </rcc>
  <rcc rId="172" sId="2" numFmtId="34">
    <nc r="E26">
      <v>12608</v>
    </nc>
  </rcc>
  <rcc rId="173" sId="2" numFmtId="34">
    <nc r="E28">
      <v>32852</v>
    </nc>
  </rcc>
  <rcc rId="174" sId="2" numFmtId="34">
    <nc r="G28">
      <v>373</v>
    </nc>
  </rcc>
  <rcc rId="175" sId="2" numFmtId="34">
    <oc r="G27">
      <v>888</v>
    </oc>
    <nc r="G27">
      <v>267</v>
    </nc>
  </rcc>
  <rcc rId="176" sId="2" numFmtId="34">
    <nc r="G26">
      <v>248</v>
    </nc>
  </rcc>
  <rfmt sheetId="2" sqref="E26:G28">
    <dxf>
      <fill>
        <patternFill>
          <bgColor theme="0"/>
        </patternFill>
      </fill>
    </dxf>
  </rfmt>
  <rfmt sheetId="2" sqref="T26:T28">
    <dxf>
      <fill>
        <patternFill>
          <bgColor theme="0"/>
        </patternFill>
      </fill>
    </dxf>
  </rfmt>
  <rcc rId="177" sId="2">
    <oc r="T26">
      <f>S26/E26</f>
    </oc>
    <nc r="T26">
      <f>S26/E26</f>
    </nc>
  </rcc>
  <rcc rId="178" sId="2" numFmtId="34">
    <nc r="G76">
      <v>75</v>
    </nc>
  </rcc>
  <rcc rId="179" sId="2" numFmtId="11">
    <nc r="R76">
      <v>90000</v>
    </nc>
  </rcc>
  <rfmt sheetId="2" sqref="R76">
    <dxf>
      <fill>
        <patternFill>
          <bgColor theme="0"/>
        </patternFill>
      </fill>
    </dxf>
  </rfmt>
  <rcc rId="180" sId="2" numFmtId="34">
    <nc r="E76">
      <v>800</v>
    </nc>
  </rcc>
  <rcc rId="181" sId="2">
    <nc r="D76" t="inlineStr">
      <is>
        <t>D</t>
      </is>
    </nc>
  </rcc>
  <rcc rId="182" sId="2">
    <nc r="U76" t="inlineStr">
      <is>
        <t xml:space="preserve">First year of grant. Expecting higher administrative costs. </t>
      </is>
    </nc>
  </rcc>
  <rcc rId="183" sId="2">
    <nc r="U44" t="inlineStr">
      <is>
        <t>See in-kind</t>
      </is>
    </nc>
  </rcc>
  <rfmt sheetId="2" sqref="E44:G44">
    <dxf>
      <fill>
        <patternFill>
          <bgColor theme="0"/>
        </patternFill>
      </fill>
    </dxf>
  </rfmt>
  <rcc rId="184" sId="2" numFmtId="34">
    <nc r="E44">
      <v>4018</v>
    </nc>
  </rcc>
</revisions>
</file>

<file path=xl/revisions/revisionLog1311.xml><?xml version="1.0" encoding="utf-8"?>
<revisions xmlns="http://schemas.openxmlformats.org/spreadsheetml/2006/main" xmlns:r="http://schemas.openxmlformats.org/officeDocument/2006/relationships">
  <rfmt sheetId="2" sqref="E12:E79">
    <dxf>
      <numFmt numFmtId="167" formatCode="0.000"/>
    </dxf>
  </rfmt>
  <rfmt sheetId="2" sqref="E12:E79">
    <dxf>
      <numFmt numFmtId="2" formatCode="0.00"/>
    </dxf>
  </rfmt>
  <rfmt sheetId="2" sqref="E12:E79">
    <dxf>
      <numFmt numFmtId="168" formatCode="0.0"/>
    </dxf>
  </rfmt>
  <rfmt sheetId="2" sqref="E12:E79">
    <dxf>
      <numFmt numFmtId="1" formatCode="0"/>
    </dxf>
  </rfmt>
  <rfmt sheetId="2" sqref="E12:E81">
    <dxf>
      <numFmt numFmtId="35" formatCode="_(* #,##0.00_);_(* \(#,##0.00\);_(* &quot;-&quot;??_);_(@_)"/>
    </dxf>
  </rfmt>
  <rfmt sheetId="2" sqref="E12:E81">
    <dxf>
      <numFmt numFmtId="169" formatCode="_(* #,##0.0_);_(* \(#,##0.0\);_(* &quot;-&quot;??_);_(@_)"/>
    </dxf>
  </rfmt>
  <rfmt sheetId="2" sqref="E12:E81">
    <dxf>
      <numFmt numFmtId="170" formatCode="_(* #,##0_);_(* \(#,##0\);_(* &quot;-&quot;??_);_(@_)"/>
    </dxf>
  </rfmt>
  <rfmt sheetId="2" sqref="G12:G81">
    <dxf>
      <numFmt numFmtId="35" formatCode="_(* #,##0.00_);_(* \(#,##0.00\);_(* &quot;-&quot;??_);_(@_)"/>
    </dxf>
  </rfmt>
  <rfmt sheetId="2" sqref="G12:G81">
    <dxf>
      <numFmt numFmtId="169" formatCode="_(* #,##0.0_);_(* \(#,##0.0\);_(* &quot;-&quot;??_);_(@_)"/>
    </dxf>
  </rfmt>
  <rfmt sheetId="2" sqref="G12:G81">
    <dxf>
      <numFmt numFmtId="170" formatCode="_(* #,##0_);_(* \(#,##0\);_(* &quot;-&quot;??_);_(@_)"/>
    </dxf>
  </rfmt>
  <rcc rId="122" sId="2" numFmtId="34">
    <nc r="E18">
      <v>700</v>
    </nc>
  </rcc>
  <rcc rId="123" sId="2" numFmtId="34">
    <nc r="E18">
      <v>936</v>
    </nc>
  </rcc>
  <rcc rId="124" sId="2" numFmtId="34">
    <nc r="G18">
      <v>157</v>
    </nc>
  </rcc>
  <rcc rId="125" sId="2" numFmtId="34">
    <nc r="E18">
      <v>1500</v>
    </nc>
  </rcc>
  <rcc rId="126" sId="2" numFmtId="34">
    <nc r="E18">
      <v>1200</v>
    </nc>
  </rcc>
  <rfmt sheetId="2" sqref="E18:G18" start="0" length="2147483647">
    <dxf>
      <font/>
    </dxf>
  </rfmt>
  <rfmt sheetId="2" sqref="E18:G18">
    <dxf>
      <fill>
        <patternFill patternType="solid">
          <bgColor rgb="FF7030A0"/>
        </patternFill>
      </fill>
    </dxf>
  </rfmt>
  <rcc rId="127" sId="2">
    <nc r="D12" t="inlineStr">
      <is>
        <t>C</t>
      </is>
    </nc>
  </rcc>
  <rcc rId="128" sId="2">
    <nc r="D14" t="inlineStr">
      <is>
        <t>C</t>
      </is>
    </nc>
  </rcc>
  <rcc rId="129" sId="2">
    <nc r="D15" t="inlineStr">
      <is>
        <t>C &amp; D</t>
      </is>
    </nc>
  </rcc>
  <rcc rId="130" sId="2">
    <nc r="D16" t="inlineStr">
      <is>
        <t>C &amp; D</t>
      </is>
    </nc>
  </rcc>
  <rcc rId="131" sId="2">
    <nc r="D18" t="inlineStr">
      <is>
        <t>C</t>
      </is>
    </nc>
  </rcc>
  <rfmt sheetId="2" sqref="E27:G28">
    <dxf>
      <fill>
        <patternFill patternType="solid">
          <bgColor rgb="FF7030A0"/>
        </patternFill>
      </fill>
    </dxf>
  </rfmt>
  <rcc rId="132" sId="2">
    <nc r="D41" t="inlineStr">
      <is>
        <t>C</t>
      </is>
    </nc>
  </rcc>
  <rcc rId="133" sId="2">
    <nc r="D31" t="inlineStr">
      <is>
        <t>C</t>
      </is>
    </nc>
  </rcc>
  <rfmt sheetId="2" sqref="E26:G26">
    <dxf>
      <fill>
        <patternFill patternType="solid">
          <bgColor rgb="FF7030A0"/>
        </patternFill>
      </fill>
    </dxf>
  </rfmt>
  <rfmt sheetId="2" sqref="T26:T28">
    <dxf>
      <fill>
        <patternFill patternType="solid">
          <bgColor rgb="FF7030A0"/>
        </patternFill>
      </fill>
    </dxf>
  </rfmt>
  <rcc rId="134" sId="2">
    <nc r="D26" t="inlineStr">
      <is>
        <t>C</t>
      </is>
    </nc>
  </rcc>
  <rcc rId="135" sId="2">
    <nc r="D25" t="inlineStr">
      <is>
        <t>C</t>
      </is>
    </nc>
  </rcc>
  <rcc rId="136" sId="2">
    <nc r="D27" t="inlineStr">
      <is>
        <t>C</t>
      </is>
    </nc>
  </rcc>
  <rcc rId="137" sId="2">
    <nc r="D28" t="inlineStr">
      <is>
        <t>C</t>
      </is>
    </nc>
  </rcc>
  <rcc rId="138" sId="2">
    <nc r="D29" t="inlineStr">
      <is>
        <t>C</t>
      </is>
    </nc>
  </rcc>
  <rcc rId="139" sId="2">
    <nc r="D42" t="inlineStr">
      <is>
        <t>C</t>
      </is>
    </nc>
  </rcc>
  <rfmt sheetId="2" sqref="D16:D81">
    <dxf>
      <alignment horizontal="center" readingOrder="0"/>
    </dxf>
  </rfmt>
  <rfmt sheetId="2" sqref="E44:G44">
    <dxf>
      <fill>
        <patternFill patternType="solid">
          <bgColor rgb="FF7030A0"/>
        </patternFill>
      </fill>
    </dxf>
  </rfmt>
  <rfmt sheetId="2" sqref="D12:D16">
    <dxf>
      <alignment horizontal="center" readingOrder="0"/>
    </dxf>
  </rfmt>
  <rcc rId="140" sId="2">
    <nc r="D47" t="inlineStr">
      <is>
        <t>D</t>
      </is>
    </nc>
  </rcc>
  <rcc rId="141" sId="2">
    <nc r="D49" t="inlineStr">
      <is>
        <t>C &amp; D</t>
      </is>
    </nc>
  </rcc>
  <rcc rId="142" sId="2">
    <nc r="D64" t="inlineStr">
      <is>
        <t>C</t>
      </is>
    </nc>
  </rcc>
  <rcc rId="143" sId="2">
    <nc r="D66" t="inlineStr">
      <is>
        <t>D</t>
      </is>
    </nc>
  </rcc>
  <rcc rId="144" sId="2" quotePrefix="1">
    <oc r="B68" t="inlineStr">
      <is>
        <t>Crime Pervention/Home Safety</t>
      </is>
    </oc>
    <nc r="B68" t="inlineStr">
      <is>
        <t>Crime Prevention/Home Safety</t>
      </is>
    </nc>
  </rcc>
  <rcc rId="145" sId="2">
    <nc r="D67" t="inlineStr">
      <is>
        <t>D</t>
      </is>
    </nc>
  </rcc>
  <rcc rId="146" sId="2">
    <oc r="A71" t="inlineStr">
      <is>
        <t>60-10</t>
      </is>
    </oc>
    <nc r="A71" t="inlineStr">
      <is>
        <t>60-1</t>
      </is>
    </nc>
  </rcc>
  <rcc rId="147" sId="2">
    <nc r="D71" t="inlineStr">
      <is>
        <t>C</t>
      </is>
    </nc>
  </rcc>
  <rcc rId="148" sId="2">
    <nc r="D36" t="inlineStr">
      <is>
        <t>C</t>
      </is>
    </nc>
  </rcc>
  <rcc rId="149" sId="2">
    <nc r="D19" t="inlineStr">
      <is>
        <t>C</t>
      </is>
    </nc>
  </rcc>
  <rcc rId="150" sId="2">
    <nc r="D20" t="inlineStr">
      <is>
        <t>C</t>
      </is>
    </nc>
  </rcc>
  <rcc rId="151" sId="2">
    <nc r="D59" t="inlineStr">
      <is>
        <t>C &amp; D</t>
      </is>
    </nc>
  </rcc>
  <rcc rId="152" sId="2">
    <nc r="D23" t="inlineStr">
      <is>
        <t>D</t>
      </is>
    </nc>
  </rcc>
  <rcc rId="153" sId="2">
    <nc r="D72" t="inlineStr">
      <is>
        <t>C</t>
      </is>
    </nc>
  </rcc>
  <rcc rId="154" sId="2">
    <nc r="D61" t="inlineStr">
      <is>
        <t>C &amp; D</t>
      </is>
    </nc>
  </rcc>
  <rcc rId="155" sId="2">
    <nc r="D74" t="inlineStr">
      <is>
        <t>C</t>
      </is>
    </nc>
  </rcc>
  <rcc rId="156" sId="2">
    <nc r="D75" t="inlineStr">
      <is>
        <t>D</t>
      </is>
    </nc>
  </rcc>
  <rfmt sheetId="2" sqref="R76">
    <dxf>
      <fill>
        <patternFill patternType="solid">
          <bgColor rgb="FF7030A0"/>
        </patternFill>
      </fill>
    </dxf>
  </rfmt>
  <rcc rId="157" sId="2">
    <nc r="D37" t="inlineStr">
      <is>
        <t>C &amp; D</t>
      </is>
    </nc>
  </rcc>
  <rcc rId="158" sId="2">
    <nc r="D60" t="inlineStr">
      <is>
        <t>D</t>
      </is>
    </nc>
  </rcc>
  <rcc rId="159" sId="2">
    <nc r="D62" t="inlineStr">
      <is>
        <t>D</t>
      </is>
    </nc>
  </rcc>
  <rcc rId="160" sId="2">
    <nc r="D79" t="inlineStr">
      <is>
        <t>D</t>
      </is>
    </nc>
  </rcc>
  <rcv guid="{B5815511-5174-4022-8727-E29AD76A8A57}" action="delete"/>
  <rdn rId="0" localSheetId="1" customView="1" name="Z_B5815511_5174_4022_8727_E29AD76A8A57_.wvu.PrintArea" hidden="1" oldHidden="1">
    <formula>'Form Instructions'!$A$1:$B$48</formula>
    <oldFormula>'Form Instructions'!$A$1:$B$48</oldFormula>
  </rdn>
  <rdn rId="0" localSheetId="2" customView="1" name="Z_B5815511_5174_4022_8727_E29AD76A8A57_.wvu.PrintArea" hidden="1" oldHidden="1">
    <formula>Budget!$A$1:$U$82</formula>
    <oldFormula>Budget!$A$1:$U$82</oldFormula>
  </rdn>
  <rdn rId="0" localSheetId="2" customView="1" name="Z_B5815511_5174_4022_8727_E29AD76A8A57_.wvu.PrintTitles" hidden="1" oldHidden="1">
    <formula>Budget!$5:$6</formula>
    <oldFormula>Budget!$5:$6</oldFormula>
  </rdn>
  <rdn rId="0" localSheetId="2" customView="1" name="Z_B5815511_5174_4022_8727_E29AD76A8A57_.wvu.Rows" hidden="1" oldHidden="1">
    <formula>Budget!$84:$85</formula>
    <oldFormula>Budget!$84:$85</oldFormula>
  </rdn>
  <rdn rId="0" localSheetId="2" customView="1" name="Z_B5815511_5174_4022_8727_E29AD76A8A57_.wvu.FilterData" hidden="1" oldHidden="1">
    <formula>Budget!$A$11:$U$44</formula>
    <oldFormula>Budget!$A$11:$U$44</oldFormula>
  </rdn>
  <rdn rId="0" localSheetId="4" customView="1" name="Z_B5815511_5174_4022_8727_E29AD76A8A57_.wvu.PrintArea" hidden="1" oldHidden="1">
    <formula>'XIX-OAA-OPI Staffing Plan'!$A$1:$L$39</formula>
    <oldFormula>'XIX-OAA-OPI Staffing Plan'!$A$1:$L$39</oldFormula>
  </rdn>
  <rdn rId="0" localSheetId="4" customView="1" name="Z_B5815511_5174_4022_8727_E29AD76A8A57_.wvu.PrintTitles" hidden="1" oldHidden="1">
    <formula>'XIX-OAA-OPI Staffing Plan'!$18:$19</formula>
    <oldFormula>'XIX-OAA-OPI Staffing Plan'!$18:$19</oldFormula>
  </rdn>
  <rcv guid="{B5815511-5174-4022-8727-E29AD76A8A57}" action="add"/>
</revisions>
</file>

<file path=xl/revisions/revisionLog13111.xml><?xml version="1.0" encoding="utf-8"?>
<revisions xmlns="http://schemas.openxmlformats.org/spreadsheetml/2006/main" xmlns:r="http://schemas.openxmlformats.org/officeDocument/2006/relationships">
  <rcv guid="{6B6D6F50-27BD-4C38-A2D0-F8E35D15D656}" action="delete"/>
  <rdn rId="0" localSheetId="1" customView="1" name="Z_6B6D6F50_27BD_4C38_A2D0_F8E35D15D656_.wvu.PrintArea" hidden="1" oldHidden="1">
    <formula>'Form Instructions'!$A$1:$B$48</formula>
    <oldFormula>'Form Instructions'!$A$1:$B$48</oldFormula>
  </rdn>
  <rdn rId="0" localSheetId="2" customView="1" name="Z_6B6D6F50_27BD_4C38_A2D0_F8E35D15D656_.wvu.PrintArea" hidden="1" oldHidden="1">
    <formula>Budget!$A$1:$U$82</formula>
    <oldFormula>Budget!$A$1:$U$82</oldFormula>
  </rdn>
  <rdn rId="0" localSheetId="2" customView="1" name="Z_6B6D6F50_27BD_4C38_A2D0_F8E35D15D656_.wvu.PrintTitles" hidden="1" oldHidden="1">
    <formula>Budget!$5:$6</formula>
    <oldFormula>Budget!$5:$6</oldFormula>
  </rdn>
  <rdn rId="0" localSheetId="2" customView="1" name="Z_6B6D6F50_27BD_4C38_A2D0_F8E35D15D656_.wvu.Rows" hidden="1" oldHidden="1">
    <formula>Budget!$84:$85</formula>
    <oldFormula>Budget!$84:$85</oldFormula>
  </rdn>
  <rdn rId="0" localSheetId="2" customView="1" name="Z_6B6D6F50_27BD_4C38_A2D0_F8E35D15D656_.wvu.FilterData" hidden="1" oldHidden="1">
    <formula>Budget!$A$11:$U$44</formula>
    <oldFormula>Budget!$A$11:$U$44</oldFormula>
  </rdn>
  <rdn rId="0" localSheetId="4" customView="1" name="Z_6B6D6F50_27BD_4C38_A2D0_F8E35D15D656_.wvu.PrintArea" hidden="1" oldHidden="1">
    <formula>'XIX-OAA-OPI Staffing Plan'!$A$1:$L$39</formula>
    <oldFormula>'XIX-OAA-OPI Staffing Plan'!$A$1:$L$39</oldFormula>
  </rdn>
  <rdn rId="0" localSheetId="4" customView="1" name="Z_6B6D6F50_27BD_4C38_A2D0_F8E35D15D656_.wvu.PrintTitles" hidden="1" oldHidden="1">
    <formula>'XIX-OAA-OPI Staffing Plan'!$18:$19</formula>
    <oldFormula>'XIX-OAA-OPI Staffing Plan'!$18:$19</oldFormula>
  </rdn>
  <rcv guid="{6B6D6F50-27BD-4C38-A2D0-F8E35D15D656}"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sheetPr codeName="Sheet1">
    <tabColor theme="5"/>
    <pageSetUpPr fitToPage="1"/>
  </sheetPr>
  <dimension ref="A1:C48"/>
  <sheetViews>
    <sheetView view="pageBreakPreview" zoomScaleNormal="100" workbookViewId="0">
      <selection activeCell="B10" sqref="B10"/>
    </sheetView>
  </sheetViews>
  <sheetFormatPr defaultRowHeight="12"/>
  <cols>
    <col min="1" max="1" width="6" style="5" customWidth="1"/>
    <col min="2" max="2" width="104.42578125" style="6" customWidth="1"/>
  </cols>
  <sheetData>
    <row r="1" spans="1:2" ht="15">
      <c r="A1" s="409" t="s">
        <v>282</v>
      </c>
      <c r="B1" s="409"/>
    </row>
    <row r="2" spans="1:2" ht="12.75">
      <c r="A2" s="191">
        <v>1</v>
      </c>
      <c r="B2" s="192" t="s">
        <v>271</v>
      </c>
    </row>
    <row r="3" spans="1:2" ht="12.75">
      <c r="A3" s="7">
        <v>2</v>
      </c>
      <c r="B3" s="8" t="s">
        <v>272</v>
      </c>
    </row>
    <row r="4" spans="1:2" ht="25.5">
      <c r="A4" s="7">
        <v>3</v>
      </c>
      <c r="B4" s="8" t="s">
        <v>274</v>
      </c>
    </row>
    <row r="5" spans="1:2" ht="29.25" customHeight="1">
      <c r="A5" s="7">
        <v>4</v>
      </c>
      <c r="B5" s="8" t="s">
        <v>156</v>
      </c>
    </row>
    <row r="6" spans="1:2" ht="27.75" customHeight="1">
      <c r="A6" s="7">
        <v>5</v>
      </c>
      <c r="B6" s="8" t="s">
        <v>195</v>
      </c>
    </row>
    <row r="7" spans="1:2" ht="14.25" customHeight="1">
      <c r="A7" s="7">
        <v>6</v>
      </c>
      <c r="B7" s="8" t="s">
        <v>147</v>
      </c>
    </row>
    <row r="8" spans="1:2" ht="12.75">
      <c r="A8" s="7">
        <v>7</v>
      </c>
      <c r="B8" s="8" t="s">
        <v>273</v>
      </c>
    </row>
    <row r="9" spans="1:2" ht="12.75">
      <c r="A9" s="7">
        <v>8</v>
      </c>
      <c r="B9" s="8" t="s">
        <v>196</v>
      </c>
    </row>
    <row r="10" spans="1:2" ht="68.25" customHeight="1">
      <c r="A10" s="7">
        <v>9</v>
      </c>
      <c r="B10" s="8" t="s">
        <v>268</v>
      </c>
    </row>
    <row r="11" spans="1:2" ht="12.75">
      <c r="A11" s="7">
        <v>10</v>
      </c>
      <c r="B11" s="8" t="s">
        <v>161</v>
      </c>
    </row>
    <row r="12" spans="1:2" ht="12.75">
      <c r="A12" s="7">
        <v>11</v>
      </c>
      <c r="B12" s="8" t="s">
        <v>197</v>
      </c>
    </row>
    <row r="13" spans="1:2" ht="12.75">
      <c r="A13" s="7">
        <v>12</v>
      </c>
      <c r="B13" s="8" t="s">
        <v>199</v>
      </c>
    </row>
    <row r="14" spans="1:2" ht="12.75">
      <c r="A14" s="7">
        <v>13</v>
      </c>
      <c r="B14" s="338" t="s">
        <v>269</v>
      </c>
    </row>
    <row r="15" spans="1:2" ht="12.75">
      <c r="A15" s="7">
        <v>14</v>
      </c>
      <c r="B15" s="8" t="s">
        <v>198</v>
      </c>
    </row>
    <row r="16" spans="1:2" ht="12.75">
      <c r="A16" s="7">
        <v>15</v>
      </c>
      <c r="B16" s="8" t="s">
        <v>162</v>
      </c>
    </row>
    <row r="17" spans="1:2" ht="12.75">
      <c r="A17" s="7">
        <v>16</v>
      </c>
      <c r="B17" s="9" t="s">
        <v>163</v>
      </c>
    </row>
    <row r="18" spans="1:2" ht="16.5" customHeight="1">
      <c r="A18" s="341">
        <v>17</v>
      </c>
      <c r="B18" s="8" t="s">
        <v>200</v>
      </c>
    </row>
    <row r="20" spans="1:2" ht="15">
      <c r="A20" s="410" t="s">
        <v>279</v>
      </c>
      <c r="B20" s="410"/>
    </row>
    <row r="21" spans="1:2" ht="12.75">
      <c r="A21" s="191">
        <v>1</v>
      </c>
      <c r="B21" s="160" t="s">
        <v>275</v>
      </c>
    </row>
    <row r="22" spans="1:2" ht="12.75">
      <c r="A22" s="7">
        <v>2</v>
      </c>
      <c r="B22" s="8" t="s">
        <v>276</v>
      </c>
    </row>
    <row r="23" spans="1:2" ht="12.75">
      <c r="A23" s="7">
        <v>3</v>
      </c>
      <c r="B23" s="8" t="s">
        <v>148</v>
      </c>
    </row>
    <row r="24" spans="1:2" ht="25.5">
      <c r="A24" s="7">
        <v>4</v>
      </c>
      <c r="B24" s="8" t="s">
        <v>169</v>
      </c>
    </row>
    <row r="25" spans="1:2" ht="53.25" customHeight="1">
      <c r="A25" s="345" t="s">
        <v>278</v>
      </c>
      <c r="B25" s="8" t="s">
        <v>176</v>
      </c>
    </row>
    <row r="26" spans="1:2" ht="12.75">
      <c r="A26" s="7">
        <v>10</v>
      </c>
      <c r="B26" s="8" t="s">
        <v>204</v>
      </c>
    </row>
    <row r="27" spans="1:2" ht="12.75">
      <c r="A27" s="7">
        <v>11</v>
      </c>
      <c r="B27" s="8" t="s">
        <v>170</v>
      </c>
    </row>
    <row r="28" spans="1:2" ht="12.75">
      <c r="A28" s="7">
        <v>12</v>
      </c>
      <c r="B28" s="193" t="s">
        <v>205</v>
      </c>
    </row>
    <row r="29" spans="1:2" ht="12.75">
      <c r="A29" s="7">
        <v>13</v>
      </c>
      <c r="B29" s="8" t="s">
        <v>171</v>
      </c>
    </row>
    <row r="30" spans="1:2" ht="12.75">
      <c r="A30" s="339"/>
      <c r="B30" s="340"/>
    </row>
    <row r="31" spans="1:2" ht="15">
      <c r="A31" s="411" t="s">
        <v>280</v>
      </c>
      <c r="B31" s="411"/>
    </row>
    <row r="32" spans="1:2" ht="12.75">
      <c r="A32" s="343">
        <v>1</v>
      </c>
      <c r="B32" s="160" t="s">
        <v>275</v>
      </c>
    </row>
    <row r="33" spans="1:3" ht="12.75">
      <c r="A33" s="341">
        <v>2</v>
      </c>
      <c r="B33" s="8" t="s">
        <v>276</v>
      </c>
    </row>
    <row r="34" spans="1:3" ht="12.75">
      <c r="A34" s="341">
        <v>3</v>
      </c>
      <c r="B34" s="8" t="s">
        <v>207</v>
      </c>
    </row>
    <row r="35" spans="1:3" ht="12.75">
      <c r="A35" s="341">
        <v>4</v>
      </c>
      <c r="B35" s="8" t="s">
        <v>209</v>
      </c>
    </row>
    <row r="36" spans="1:3" ht="12.75">
      <c r="A36" s="341">
        <v>5</v>
      </c>
      <c r="B36" s="9" t="s">
        <v>173</v>
      </c>
    </row>
    <row r="37" spans="1:3" ht="25.5">
      <c r="A37" s="341">
        <v>6</v>
      </c>
      <c r="B37" s="8" t="s">
        <v>208</v>
      </c>
    </row>
    <row r="38" spans="1:3" ht="12.75">
      <c r="A38" s="341">
        <v>7</v>
      </c>
      <c r="B38" s="8" t="s">
        <v>266</v>
      </c>
    </row>
    <row r="39" spans="1:3" ht="16.5" customHeight="1">
      <c r="A39" s="344" t="s">
        <v>270</v>
      </c>
      <c r="B39" s="8" t="s">
        <v>294</v>
      </c>
    </row>
    <row r="40" spans="1:3" ht="12.75">
      <c r="A40" s="341">
        <v>14</v>
      </c>
      <c r="B40" s="9" t="s">
        <v>174</v>
      </c>
    </row>
    <row r="42" spans="1:3" ht="15">
      <c r="A42" s="337"/>
      <c r="B42" s="336" t="s">
        <v>281</v>
      </c>
    </row>
    <row r="43" spans="1:3" ht="30" customHeight="1">
      <c r="A43" s="412" t="s">
        <v>264</v>
      </c>
      <c r="B43" s="413"/>
      <c r="C43" s="10"/>
    </row>
    <row r="44" spans="1:3" ht="12.75">
      <c r="A44" s="341">
        <v>1</v>
      </c>
      <c r="B44" s="192" t="s">
        <v>277</v>
      </c>
      <c r="C44" s="10"/>
    </row>
    <row r="45" spans="1:3" ht="12.75">
      <c r="A45" s="341">
        <v>2</v>
      </c>
      <c r="B45" s="8" t="s">
        <v>276</v>
      </c>
      <c r="C45" s="10"/>
    </row>
    <row r="46" spans="1:3">
      <c r="A46" s="341">
        <v>3</v>
      </c>
      <c r="B46" s="195" t="s">
        <v>295</v>
      </c>
    </row>
    <row r="47" spans="1:3">
      <c r="A47" s="341">
        <v>4</v>
      </c>
      <c r="B47" s="195" t="s">
        <v>265</v>
      </c>
    </row>
    <row r="48" spans="1:3" ht="24">
      <c r="A48" s="342" t="s">
        <v>297</v>
      </c>
      <c r="B48" s="331" t="s">
        <v>296</v>
      </c>
    </row>
  </sheetData>
  <sheetProtection password="CDB2" sheet="1" selectLockedCells="1"/>
  <customSheetViews>
    <customSheetView guid="{AB1FFAD6-1D3B-42E3-A3A7-9220125B4B05}" showPageBreaks="1" fitToPage="1" printArea="1" view="pageBreakPreview">
      <selection activeCell="B10" sqref="B10"/>
      <pageMargins left="0" right="0" top="0" bottom="0.5" header="0.19" footer="0.2"/>
      <printOptions horizontalCentered="1" verticalCentered="1"/>
      <pageSetup scale="97" orientation="portrait" r:id="rId1"/>
      <headerFooter alignWithMargins="0">
        <oddFooter>&amp;L&amp;A&amp;CDate Printed:  &amp;D                                                                 &amp;R&amp;P of &amp;N</oddFooter>
      </headerFooter>
    </customSheetView>
    <customSheetView guid="{91A667C6-F252-4792-89C6-D1CF90C6139A}" showPageBreaks="1" fitToPage="1" printArea="1" view="pageBreakPreview">
      <selection activeCell="B10" sqref="B10"/>
      <pageMargins left="0" right="0" top="0" bottom="0.5" header="0.19" footer="0.2"/>
      <printOptions horizontalCentered="1" verticalCentered="1"/>
      <pageSetup scale="93" orientation="portrait" r:id="rId2"/>
      <headerFooter alignWithMargins="0">
        <oddFooter>&amp;L&amp;A&amp;CDate Printed:  &amp;D                                                                 &amp;R&amp;P of &amp;N</oddFooter>
      </headerFooter>
    </customSheetView>
    <customSheetView guid="{B5815511-5174-4022-8727-E29AD76A8A57}" showPageBreaks="1" fitToPage="1" printArea="1" view="pageBreakPreview">
      <selection activeCell="B10" sqref="B10"/>
      <pageMargins left="0" right="0" top="0" bottom="0.5" header="0.19" footer="0.2"/>
      <printOptions horizontalCentered="1" verticalCentered="1"/>
      <pageSetup scale="97" orientation="portrait" r:id="rId3"/>
      <headerFooter alignWithMargins="0">
        <oddFooter>&amp;L&amp;A&amp;CDate Printed:  &amp;D                                                                 &amp;R&amp;P of &amp;N</oddFooter>
      </headerFooter>
    </customSheetView>
    <customSheetView guid="{FC59C8CD-A934-4366-8337-D6B3831494AD}" showPageBreaks="1" fitToPage="1" printArea="1" view="pageBreakPreview">
      <selection activeCell="B10" sqref="B10"/>
      <pageMargins left="0" right="0" top="0" bottom="0.5" header="0.19" footer="0.2"/>
      <printOptions horizontalCentered="1" verticalCentered="1"/>
      <pageSetup scale="97" orientation="portrait" r:id="rId4"/>
      <headerFooter alignWithMargins="0">
        <oddFooter>&amp;L&amp;A&amp;CDate Printed:  &amp;D                                                                 &amp;R&amp;P of &amp;N</oddFooter>
      </headerFooter>
    </customSheetView>
    <customSheetView guid="{6B6D6F50-27BD-4C38-A2D0-F8E35D15D656}" showPageBreaks="1" fitToPage="1" printArea="1" view="pageBreakPreview">
      <selection activeCell="B10" sqref="B10"/>
      <pageMargins left="0" right="0" top="0" bottom="0.5" header="0.19" footer="0.2"/>
      <printOptions horizontalCentered="1" verticalCentered="1"/>
      <pageSetup scale="91" orientation="portrait" r:id="rId5"/>
      <headerFooter alignWithMargins="0">
        <oddFooter>&amp;L&amp;A&amp;CDate Printed:  &amp;D                                                                 &amp;R&amp;P of &amp;N</oddFooter>
      </headerFooter>
    </customSheetView>
  </customSheetViews>
  <mergeCells count="4">
    <mergeCell ref="A1:B1"/>
    <mergeCell ref="A20:B20"/>
    <mergeCell ref="A31:B31"/>
    <mergeCell ref="A43:B43"/>
  </mergeCells>
  <phoneticPr fontId="4" type="noConversion"/>
  <printOptions horizontalCentered="1" verticalCentered="1"/>
  <pageMargins left="0" right="0" top="0" bottom="0.5" header="0.19" footer="0.2"/>
  <pageSetup scale="97" orientation="portrait" r:id="rId6"/>
  <headerFooter alignWithMargins="0">
    <oddFooter>&amp;L&amp;A&amp;CDate Printed:  &amp;D                                                                 &amp;R&amp;P of &amp;N</oddFooter>
  </headerFooter>
</worksheet>
</file>

<file path=xl/worksheets/sheet2.xml><?xml version="1.0" encoding="utf-8"?>
<worksheet xmlns="http://schemas.openxmlformats.org/spreadsheetml/2006/main" xmlns:r="http://schemas.openxmlformats.org/officeDocument/2006/relationships">
  <sheetPr codeName="Sheet7">
    <tabColor indexed="42"/>
  </sheetPr>
  <dimension ref="A1:U202"/>
  <sheetViews>
    <sheetView showGridLines="0" tabSelected="1" zoomScale="75" zoomScaleNormal="75" zoomScaleSheetLayoutView="75" workbookViewId="0">
      <pane xSplit="7" ySplit="7" topLeftCell="P44" activePane="bottomRight" state="frozen"/>
      <selection pane="topRight" activeCell="H1" sqref="H1"/>
      <selection pane="bottomLeft" activeCell="A8" sqref="A8"/>
      <selection pane="bottomRight" activeCell="E50" sqref="E50"/>
    </sheetView>
  </sheetViews>
  <sheetFormatPr defaultColWidth="41" defaultRowHeight="15"/>
  <cols>
    <col min="1" max="1" width="8.5703125" style="186" customWidth="1"/>
    <col min="2" max="2" width="54.42578125" style="14" customWidth="1"/>
    <col min="3" max="3" width="1" style="14" customWidth="1"/>
    <col min="4" max="4" width="12.85546875" style="18" customWidth="1"/>
    <col min="5" max="5" width="14" style="18" customWidth="1"/>
    <col min="6" max="6" width="14.28515625" style="98" customWidth="1"/>
    <col min="7" max="7" width="14.42578125" style="18" customWidth="1"/>
    <col min="8" max="13" width="14.140625" style="11" customWidth="1"/>
    <col min="14" max="14" width="18.28515625" style="11" customWidth="1"/>
    <col min="15" max="15" width="15.28515625" style="11" customWidth="1"/>
    <col min="16" max="17" width="14.140625" style="11" customWidth="1"/>
    <col min="18" max="18" width="17.28515625" style="11" customWidth="1"/>
    <col min="19" max="19" width="18.85546875" style="12" customWidth="1"/>
    <col min="20" max="20" width="22.85546875" style="13" customWidth="1"/>
    <col min="21" max="21" width="26.140625" style="14" customWidth="1"/>
    <col min="22" max="16384" width="41" style="15"/>
  </cols>
  <sheetData>
    <row r="1" spans="1:21" ht="18" customHeight="1">
      <c r="A1" s="430" t="s">
        <v>283</v>
      </c>
      <c r="B1" s="430"/>
      <c r="C1" s="302"/>
      <c r="D1" s="418"/>
      <c r="E1" s="418"/>
      <c r="F1" s="418"/>
      <c r="G1" s="418"/>
      <c r="H1" s="425" t="s">
        <v>177</v>
      </c>
      <c r="I1" s="426"/>
      <c r="J1" s="426"/>
      <c r="K1" s="426"/>
      <c r="L1" s="426"/>
      <c r="M1" s="426"/>
      <c r="N1" s="426"/>
      <c r="O1" s="426"/>
      <c r="P1" s="257"/>
      <c r="Q1" s="257"/>
      <c r="R1" s="257"/>
      <c r="S1" s="258"/>
      <c r="T1" s="259"/>
      <c r="U1" s="140"/>
    </row>
    <row r="2" spans="1:21" ht="18" customHeight="1">
      <c r="A2" s="303" t="str">
        <f>'Data Validation'!A11</f>
        <v>Multnomah County Aging, Disability &amp; Veterans Services Dept (MCADVSD)</v>
      </c>
      <c r="B2" s="330"/>
      <c r="C2" s="304"/>
      <c r="D2" s="304"/>
      <c r="E2" s="304"/>
      <c r="F2" s="304"/>
      <c r="H2" s="426"/>
      <c r="I2" s="426"/>
      <c r="J2" s="426"/>
      <c r="K2" s="426"/>
      <c r="L2" s="426"/>
      <c r="M2" s="426"/>
      <c r="N2" s="426"/>
      <c r="O2" s="426"/>
      <c r="P2" s="257"/>
      <c r="Q2" s="257"/>
      <c r="R2" s="257"/>
      <c r="S2" s="258"/>
      <c r="T2" s="259"/>
      <c r="U2" s="140"/>
    </row>
    <row r="3" spans="1:21" ht="18" customHeight="1">
      <c r="A3" s="313" t="s">
        <v>226</v>
      </c>
      <c r="B3" s="313"/>
      <c r="C3" s="314"/>
      <c r="D3" s="314"/>
      <c r="E3" s="305"/>
      <c r="F3" s="306"/>
      <c r="H3" s="248"/>
      <c r="I3" s="248"/>
      <c r="J3" s="248"/>
      <c r="K3" s="248"/>
      <c r="L3" s="248"/>
      <c r="M3" s="248"/>
      <c r="N3" s="248"/>
      <c r="O3" s="257"/>
      <c r="P3" s="257"/>
      <c r="Q3" s="257"/>
      <c r="R3" s="257"/>
      <c r="S3" s="258"/>
      <c r="T3" s="259"/>
      <c r="U3" s="140"/>
    </row>
    <row r="4" spans="1:21" ht="18" customHeight="1">
      <c r="A4" s="307"/>
      <c r="B4" s="308"/>
      <c r="C4" s="309"/>
      <c r="D4" s="310"/>
      <c r="E4" s="16"/>
      <c r="F4" s="17"/>
      <c r="H4" s="414" t="s">
        <v>128</v>
      </c>
      <c r="I4" s="415"/>
      <c r="J4" s="415"/>
      <c r="K4" s="415"/>
      <c r="L4" s="415"/>
      <c r="M4" s="415"/>
      <c r="N4" s="261" t="s">
        <v>129</v>
      </c>
      <c r="O4" s="257"/>
      <c r="P4" s="257"/>
      <c r="Q4" s="257"/>
      <c r="R4" s="257"/>
      <c r="S4" s="258"/>
      <c r="T4" s="259"/>
      <c r="U4" s="140"/>
    </row>
    <row r="5" spans="1:21" ht="18" customHeight="1" thickBot="1">
      <c r="A5" s="262" t="s">
        <v>122</v>
      </c>
      <c r="B5" s="263" t="s">
        <v>123</v>
      </c>
      <c r="C5" s="264"/>
      <c r="D5" s="265"/>
      <c r="E5" s="265"/>
      <c r="F5" s="265"/>
      <c r="G5" s="265"/>
      <c r="H5" s="416" t="s">
        <v>104</v>
      </c>
      <c r="I5" s="417"/>
      <c r="J5" s="417"/>
      <c r="K5" s="417"/>
      <c r="L5" s="417"/>
      <c r="M5" s="417"/>
      <c r="N5" s="417"/>
      <c r="O5" s="261" t="s">
        <v>141</v>
      </c>
      <c r="P5" s="261" t="s">
        <v>142</v>
      </c>
      <c r="Q5" s="266" t="s">
        <v>143</v>
      </c>
      <c r="R5" s="261" t="s">
        <v>144</v>
      </c>
      <c r="S5" s="267" t="s">
        <v>145</v>
      </c>
      <c r="T5" s="268" t="s">
        <v>146</v>
      </c>
      <c r="U5" s="268" t="s">
        <v>218</v>
      </c>
    </row>
    <row r="6" spans="1:21" ht="48.75" thickTop="1" thickBot="1">
      <c r="A6" s="269" t="s">
        <v>178</v>
      </c>
      <c r="B6" s="270" t="s">
        <v>130</v>
      </c>
      <c r="C6" s="271"/>
      <c r="D6" s="272" t="s">
        <v>124</v>
      </c>
      <c r="E6" s="272" t="s">
        <v>125</v>
      </c>
      <c r="F6" s="272" t="s">
        <v>126</v>
      </c>
      <c r="G6" s="272" t="s">
        <v>127</v>
      </c>
      <c r="H6" s="273" t="s">
        <v>151</v>
      </c>
      <c r="I6" s="274" t="s">
        <v>152</v>
      </c>
      <c r="J6" s="274" t="s">
        <v>153</v>
      </c>
      <c r="K6" s="274" t="s">
        <v>154</v>
      </c>
      <c r="L6" s="274" t="s">
        <v>155</v>
      </c>
      <c r="M6" s="275" t="s">
        <v>150</v>
      </c>
      <c r="N6" s="276" t="s">
        <v>103</v>
      </c>
      <c r="O6" s="277" t="s">
        <v>106</v>
      </c>
      <c r="P6" s="278" t="s">
        <v>107</v>
      </c>
      <c r="Q6" s="279" t="s">
        <v>219</v>
      </c>
      <c r="R6" s="279" t="s">
        <v>131</v>
      </c>
      <c r="S6" s="279" t="s">
        <v>108</v>
      </c>
      <c r="T6" s="280" t="s">
        <v>175</v>
      </c>
      <c r="U6" s="281" t="s">
        <v>179</v>
      </c>
    </row>
    <row r="7" spans="1:21" ht="18" customHeight="1" thickTop="1" thickBot="1">
      <c r="A7" s="434" t="s">
        <v>97</v>
      </c>
      <c r="B7" s="434"/>
      <c r="C7" s="106"/>
      <c r="D7" s="19"/>
      <c r="E7" s="19"/>
      <c r="F7" s="20"/>
      <c r="G7" s="21"/>
      <c r="H7" s="22">
        <f>SUM(H8:H10)</f>
        <v>261761</v>
      </c>
      <c r="I7" s="23">
        <f t="shared" ref="I7:R7" si="0">SUM(I8:I10)</f>
        <v>0</v>
      </c>
      <c r="J7" s="23">
        <f t="shared" si="0"/>
        <v>0</v>
      </c>
      <c r="K7" s="23">
        <f t="shared" si="0"/>
        <v>0</v>
      </c>
      <c r="L7" s="23">
        <f t="shared" si="0"/>
        <v>0</v>
      </c>
      <c r="M7" s="23">
        <f t="shared" si="0"/>
        <v>0</v>
      </c>
      <c r="N7" s="24">
        <f t="shared" si="0"/>
        <v>261761</v>
      </c>
      <c r="O7" s="23">
        <f t="shared" si="0"/>
        <v>0</v>
      </c>
      <c r="P7" s="23">
        <f t="shared" si="0"/>
        <v>96724</v>
      </c>
      <c r="Q7" s="23">
        <f t="shared" si="0"/>
        <v>0</v>
      </c>
      <c r="R7" s="23">
        <f t="shared" si="0"/>
        <v>1157838</v>
      </c>
      <c r="S7" s="188">
        <f t="shared" ref="S7:S38" si="1">N7+O7+P7+R7</f>
        <v>1516323</v>
      </c>
      <c r="T7" s="25"/>
      <c r="U7" s="209"/>
    </row>
    <row r="8" spans="1:21" ht="23.1" customHeight="1" thickTop="1">
      <c r="A8" s="167" t="s">
        <v>22</v>
      </c>
      <c r="B8" s="26" t="s">
        <v>23</v>
      </c>
      <c r="C8" s="114"/>
      <c r="D8" s="419" t="s">
        <v>267</v>
      </c>
      <c r="E8" s="419" t="s">
        <v>181</v>
      </c>
      <c r="F8" s="419" t="s">
        <v>182</v>
      </c>
      <c r="G8" s="422" t="s">
        <v>203</v>
      </c>
      <c r="H8" s="67">
        <f>637347+29583-15147-239514-189103</f>
        <v>223166</v>
      </c>
      <c r="I8" s="27"/>
      <c r="J8" s="27"/>
      <c r="K8" s="27"/>
      <c r="L8" s="27"/>
      <c r="M8" s="27"/>
      <c r="N8" s="28">
        <f>SUM(H8:M8)</f>
        <v>223166</v>
      </c>
      <c r="O8" s="27"/>
      <c r="P8" s="30">
        <f>88806+29815+28644-45209-5332</f>
        <v>96724</v>
      </c>
      <c r="Q8" s="30"/>
      <c r="R8" s="30">
        <f>1297020-361830</f>
        <v>935190</v>
      </c>
      <c r="S8" s="187">
        <f t="shared" si="1"/>
        <v>1255080</v>
      </c>
      <c r="T8" s="32"/>
      <c r="U8" s="210"/>
    </row>
    <row r="9" spans="1:21" ht="23.1" customHeight="1">
      <c r="A9" s="168" t="s">
        <v>24</v>
      </c>
      <c r="B9" s="33" t="s">
        <v>25</v>
      </c>
      <c r="C9" s="112"/>
      <c r="D9" s="420"/>
      <c r="E9" s="420"/>
      <c r="F9" s="420"/>
      <c r="G9" s="423"/>
      <c r="H9" s="36">
        <v>38595</v>
      </c>
      <c r="I9" s="34"/>
      <c r="J9" s="34"/>
      <c r="K9" s="34"/>
      <c r="L9" s="34"/>
      <c r="M9" s="34"/>
      <c r="N9" s="35">
        <f>SUM(H9:M9)</f>
        <v>38595</v>
      </c>
      <c r="O9" s="36"/>
      <c r="P9" s="34"/>
      <c r="Q9" s="34"/>
      <c r="R9" s="34">
        <f>174955+9555</f>
        <v>184510</v>
      </c>
      <c r="S9" s="31">
        <f t="shared" si="1"/>
        <v>223105</v>
      </c>
      <c r="T9" s="32"/>
      <c r="U9" s="210"/>
    </row>
    <row r="10" spans="1:21" ht="23.1" customHeight="1" thickBot="1">
      <c r="A10" s="169" t="s">
        <v>26</v>
      </c>
      <c r="B10" s="37" t="s">
        <v>27</v>
      </c>
      <c r="C10" s="111"/>
      <c r="D10" s="421"/>
      <c r="E10" s="421"/>
      <c r="F10" s="421"/>
      <c r="G10" s="424"/>
      <c r="H10" s="40"/>
      <c r="I10" s="38"/>
      <c r="J10" s="38"/>
      <c r="K10" s="38"/>
      <c r="L10" s="38"/>
      <c r="M10" s="38"/>
      <c r="N10" s="39">
        <f>SUM(H10:M10)</f>
        <v>0</v>
      </c>
      <c r="O10" s="40"/>
      <c r="P10" s="38"/>
      <c r="Q10" s="38"/>
      <c r="R10" s="38">
        <f>372372+3000+1850-339084</f>
        <v>38138</v>
      </c>
      <c r="S10" s="162">
        <f t="shared" si="1"/>
        <v>38138</v>
      </c>
      <c r="T10" s="41"/>
      <c r="U10" s="211"/>
    </row>
    <row r="11" spans="1:21" ht="23.1" customHeight="1" thickTop="1" thickBot="1">
      <c r="A11" s="432" t="s">
        <v>99</v>
      </c>
      <c r="B11" s="432"/>
      <c r="C11" s="107"/>
      <c r="D11" s="42"/>
      <c r="E11" s="42"/>
      <c r="F11" s="43"/>
      <c r="G11" s="44"/>
      <c r="H11" s="22">
        <f t="shared" ref="H11:R11" si="2">SUM(H12:H23)</f>
        <v>519459</v>
      </c>
      <c r="I11" s="23">
        <f t="shared" si="2"/>
        <v>0</v>
      </c>
      <c r="J11" s="23">
        <f t="shared" si="2"/>
        <v>0</v>
      </c>
      <c r="K11" s="23">
        <f t="shared" si="2"/>
        <v>0</v>
      </c>
      <c r="L11" s="23">
        <f t="shared" si="2"/>
        <v>0</v>
      </c>
      <c r="M11" s="23">
        <f t="shared" si="2"/>
        <v>0</v>
      </c>
      <c r="N11" s="24">
        <f t="shared" si="2"/>
        <v>519459</v>
      </c>
      <c r="O11" s="23">
        <f t="shared" si="2"/>
        <v>0</v>
      </c>
      <c r="P11" s="23">
        <f t="shared" si="2"/>
        <v>216941</v>
      </c>
      <c r="Q11" s="23">
        <f t="shared" si="2"/>
        <v>148566</v>
      </c>
      <c r="R11" s="23">
        <f t="shared" si="2"/>
        <v>2300354</v>
      </c>
      <c r="S11" s="188">
        <f t="shared" si="1"/>
        <v>3036754</v>
      </c>
      <c r="T11" s="45"/>
      <c r="U11" s="212"/>
    </row>
    <row r="12" spans="1:21" ht="23.1" customHeight="1" thickTop="1">
      <c r="A12" s="170">
        <v>6</v>
      </c>
      <c r="B12" s="46" t="s">
        <v>7</v>
      </c>
      <c r="C12" s="46"/>
      <c r="D12" s="397" t="s">
        <v>233</v>
      </c>
      <c r="E12" s="378">
        <v>20166</v>
      </c>
      <c r="F12" s="99" t="s">
        <v>109</v>
      </c>
      <c r="G12" s="387">
        <v>1351</v>
      </c>
      <c r="H12" s="47">
        <f>136761+239514</f>
        <v>376275</v>
      </c>
      <c r="I12" s="48"/>
      <c r="J12" s="48"/>
      <c r="K12" s="48"/>
      <c r="L12" s="48"/>
      <c r="M12" s="48"/>
      <c r="N12" s="49">
        <f>SUM(H12:M12)</f>
        <v>376275</v>
      </c>
      <c r="O12" s="36"/>
      <c r="P12" s="34">
        <f>166400+45209+5332</f>
        <v>216941</v>
      </c>
      <c r="Q12" s="34">
        <f>54120+16620+16654+61172</f>
        <v>148566</v>
      </c>
      <c r="R12" s="34">
        <f>432670+213947+31966-105697+290630-290630</f>
        <v>572886</v>
      </c>
      <c r="S12" s="187">
        <f t="shared" si="1"/>
        <v>1166102</v>
      </c>
      <c r="T12" s="50">
        <f t="shared" ref="T12:T23" si="3">S12/E12</f>
        <v>57.825151244669243</v>
      </c>
      <c r="U12" s="210"/>
    </row>
    <row r="13" spans="1:21" ht="23.1" customHeight="1">
      <c r="A13" s="171">
        <v>9</v>
      </c>
      <c r="B13" s="51" t="s">
        <v>10</v>
      </c>
      <c r="C13" s="51"/>
      <c r="D13" s="397"/>
      <c r="E13" s="378"/>
      <c r="F13" s="100" t="s">
        <v>110</v>
      </c>
      <c r="G13" s="387"/>
      <c r="H13" s="36"/>
      <c r="I13" s="34"/>
      <c r="J13" s="34"/>
      <c r="K13" s="34"/>
      <c r="L13" s="34"/>
      <c r="M13" s="34"/>
      <c r="N13" s="52">
        <f t="shared" ref="N13:N22" si="4">SUM(H13:M13)</f>
        <v>0</v>
      </c>
      <c r="O13" s="36"/>
      <c r="P13" s="34"/>
      <c r="Q13" s="34"/>
      <c r="R13" s="34"/>
      <c r="S13" s="31">
        <f t="shared" si="1"/>
        <v>0</v>
      </c>
      <c r="T13" s="50" t="e">
        <f t="shared" si="3"/>
        <v>#DIV/0!</v>
      </c>
      <c r="U13" s="210"/>
    </row>
    <row r="14" spans="1:21" ht="23.1" customHeight="1">
      <c r="A14" s="171">
        <v>10</v>
      </c>
      <c r="B14" s="33" t="s">
        <v>11</v>
      </c>
      <c r="C14" s="33"/>
      <c r="D14" s="397" t="s">
        <v>233</v>
      </c>
      <c r="E14" s="378">
        <v>17824</v>
      </c>
      <c r="F14" s="100" t="s">
        <v>110</v>
      </c>
      <c r="G14" s="387">
        <v>1197</v>
      </c>
      <c r="H14" s="36">
        <v>6200</v>
      </c>
      <c r="I14" s="34"/>
      <c r="J14" s="34"/>
      <c r="K14" s="34"/>
      <c r="L14" s="34"/>
      <c r="M14" s="34"/>
      <c r="N14" s="52">
        <f t="shared" si="4"/>
        <v>6200</v>
      </c>
      <c r="O14" s="36"/>
      <c r="P14" s="34"/>
      <c r="Q14" s="34"/>
      <c r="R14" s="34">
        <f>27268+60800+106142</f>
        <v>194210</v>
      </c>
      <c r="S14" s="31">
        <f t="shared" si="1"/>
        <v>200410</v>
      </c>
      <c r="T14" s="50">
        <f t="shared" si="3"/>
        <v>11.243828545780969</v>
      </c>
      <c r="U14" s="210"/>
    </row>
    <row r="15" spans="1:21" ht="23.1" customHeight="1">
      <c r="A15" s="171">
        <v>13</v>
      </c>
      <c r="B15" s="33" t="s">
        <v>14</v>
      </c>
      <c r="C15" s="33"/>
      <c r="D15" s="397" t="s">
        <v>331</v>
      </c>
      <c r="E15" s="378">
        <v>60626</v>
      </c>
      <c r="F15" s="100" t="s">
        <v>111</v>
      </c>
      <c r="G15" s="387" t="s">
        <v>330</v>
      </c>
      <c r="H15" s="36">
        <f>42000+15147</f>
        <v>57147</v>
      </c>
      <c r="I15" s="34"/>
      <c r="J15" s="34"/>
      <c r="K15" s="34"/>
      <c r="L15" s="34"/>
      <c r="M15" s="34"/>
      <c r="N15" s="52">
        <f t="shared" si="4"/>
        <v>57147</v>
      </c>
      <c r="O15" s="36"/>
      <c r="P15" s="34"/>
      <c r="Q15" s="34"/>
      <c r="R15" s="34">
        <f>18642+99634+180963-57454+361830</f>
        <v>603615</v>
      </c>
      <c r="S15" s="31">
        <f t="shared" si="1"/>
        <v>660762</v>
      </c>
      <c r="T15" s="50">
        <f t="shared" si="3"/>
        <v>10.898987233200277</v>
      </c>
      <c r="U15" s="210"/>
    </row>
    <row r="16" spans="1:21" ht="23.1" customHeight="1">
      <c r="A16" s="171">
        <v>14</v>
      </c>
      <c r="B16" s="33" t="s">
        <v>15</v>
      </c>
      <c r="C16" s="33"/>
      <c r="D16" s="397" t="s">
        <v>331</v>
      </c>
      <c r="E16" s="378">
        <v>2723</v>
      </c>
      <c r="F16" s="100" t="s">
        <v>111</v>
      </c>
      <c r="G16" s="387" t="s">
        <v>330</v>
      </c>
      <c r="H16" s="36">
        <v>16984</v>
      </c>
      <c r="I16" s="34"/>
      <c r="J16" s="34"/>
      <c r="K16" s="34"/>
      <c r="L16" s="34"/>
      <c r="M16" s="34"/>
      <c r="N16" s="52">
        <f t="shared" si="4"/>
        <v>16984</v>
      </c>
      <c r="O16" s="36"/>
      <c r="P16" s="34"/>
      <c r="Q16" s="34"/>
      <c r="R16" s="34">
        <f>10389</f>
        <v>10389</v>
      </c>
      <c r="S16" s="31">
        <f t="shared" si="1"/>
        <v>27373</v>
      </c>
      <c r="T16" s="50">
        <f t="shared" si="3"/>
        <v>10.05251560778553</v>
      </c>
      <c r="U16" s="213"/>
    </row>
    <row r="17" spans="1:21" ht="23.1" customHeight="1">
      <c r="A17" s="168" t="s">
        <v>45</v>
      </c>
      <c r="B17" s="33" t="s">
        <v>46</v>
      </c>
      <c r="C17" s="33"/>
      <c r="D17" s="397"/>
      <c r="E17" s="378"/>
      <c r="F17" s="100" t="s">
        <v>230</v>
      </c>
      <c r="G17" s="387"/>
      <c r="H17" s="36"/>
      <c r="I17" s="34"/>
      <c r="J17" s="34"/>
      <c r="K17" s="34"/>
      <c r="L17" s="34"/>
      <c r="M17" s="34"/>
      <c r="N17" s="52">
        <f t="shared" si="4"/>
        <v>0</v>
      </c>
      <c r="O17" s="36"/>
      <c r="P17" s="34"/>
      <c r="Q17" s="34"/>
      <c r="R17" s="34"/>
      <c r="S17" s="31">
        <f t="shared" si="1"/>
        <v>0</v>
      </c>
      <c r="T17" s="50" t="e">
        <f t="shared" si="3"/>
        <v>#DIV/0!</v>
      </c>
      <c r="U17" s="210"/>
    </row>
    <row r="18" spans="1:21" ht="23.1" customHeight="1">
      <c r="A18" s="168" t="s">
        <v>47</v>
      </c>
      <c r="B18" s="51" t="s">
        <v>48</v>
      </c>
      <c r="C18" s="51"/>
      <c r="D18" s="397" t="s">
        <v>233</v>
      </c>
      <c r="E18" s="401">
        <v>1200</v>
      </c>
      <c r="F18" s="402" t="s">
        <v>109</v>
      </c>
      <c r="G18" s="403">
        <v>157</v>
      </c>
      <c r="H18" s="36"/>
      <c r="I18" s="34"/>
      <c r="J18" s="34"/>
      <c r="K18" s="34"/>
      <c r="L18" s="34"/>
      <c r="M18" s="34"/>
      <c r="N18" s="52">
        <f t="shared" si="4"/>
        <v>0</v>
      </c>
      <c r="O18" s="36"/>
      <c r="P18" s="34"/>
      <c r="Q18" s="34"/>
      <c r="R18" s="34">
        <f>290630</f>
        <v>290630</v>
      </c>
      <c r="S18" s="31">
        <f t="shared" si="1"/>
        <v>290630</v>
      </c>
      <c r="T18" s="50">
        <f t="shared" si="3"/>
        <v>242.19166666666666</v>
      </c>
      <c r="U18" s="210"/>
    </row>
    <row r="19" spans="1:21" ht="23.1" customHeight="1">
      <c r="A19" s="168" t="s">
        <v>66</v>
      </c>
      <c r="B19" s="110" t="s">
        <v>67</v>
      </c>
      <c r="C19" s="53"/>
      <c r="D19" s="397" t="s">
        <v>233</v>
      </c>
      <c r="E19" s="378">
        <v>1912</v>
      </c>
      <c r="F19" s="100" t="s">
        <v>109</v>
      </c>
      <c r="G19" s="387">
        <v>2255</v>
      </c>
      <c r="H19" s="36">
        <v>5000</v>
      </c>
      <c r="I19" s="34"/>
      <c r="J19" s="34"/>
      <c r="K19" s="34"/>
      <c r="L19" s="34"/>
      <c r="M19" s="34"/>
      <c r="N19" s="52">
        <f t="shared" si="4"/>
        <v>5000</v>
      </c>
      <c r="O19" s="36"/>
      <c r="P19" s="34"/>
      <c r="Q19" s="34"/>
      <c r="R19" s="34">
        <f>10000</f>
        <v>10000</v>
      </c>
      <c r="S19" s="31">
        <f t="shared" si="1"/>
        <v>15000</v>
      </c>
      <c r="T19" s="50">
        <f t="shared" si="3"/>
        <v>7.8451882845188283</v>
      </c>
      <c r="U19" s="210"/>
    </row>
    <row r="20" spans="1:21" ht="23.1" customHeight="1">
      <c r="A20" s="168" t="s">
        <v>68</v>
      </c>
      <c r="B20" s="53" t="s">
        <v>69</v>
      </c>
      <c r="C20" s="53"/>
      <c r="D20" s="397" t="s">
        <v>233</v>
      </c>
      <c r="E20" s="378">
        <v>11403</v>
      </c>
      <c r="F20" s="100" t="s">
        <v>109</v>
      </c>
      <c r="G20" s="387">
        <v>2241</v>
      </c>
      <c r="H20" s="36">
        <v>57853</v>
      </c>
      <c r="I20" s="34"/>
      <c r="J20" s="34"/>
      <c r="K20" s="34"/>
      <c r="L20" s="34"/>
      <c r="M20" s="34"/>
      <c r="N20" s="52">
        <f t="shared" si="4"/>
        <v>57853</v>
      </c>
      <c r="O20" s="36"/>
      <c r="P20" s="34"/>
      <c r="Q20" s="34"/>
      <c r="R20" s="34">
        <f>369080+249544</f>
        <v>618624</v>
      </c>
      <c r="S20" s="31">
        <f t="shared" si="1"/>
        <v>676477</v>
      </c>
      <c r="T20" s="50">
        <f t="shared" si="3"/>
        <v>59.324476015083746</v>
      </c>
      <c r="U20" s="210"/>
    </row>
    <row r="21" spans="1:21" ht="23.1" customHeight="1">
      <c r="A21" s="167" t="s">
        <v>74</v>
      </c>
      <c r="B21" s="54" t="s">
        <v>75</v>
      </c>
      <c r="C21" s="54"/>
      <c r="D21" s="397"/>
      <c r="E21" s="378"/>
      <c r="F21" s="100" t="s">
        <v>116</v>
      </c>
      <c r="G21" s="387"/>
      <c r="H21" s="29"/>
      <c r="I21" s="30"/>
      <c r="J21" s="30"/>
      <c r="K21" s="34"/>
      <c r="L21" s="30"/>
      <c r="M21" s="30"/>
      <c r="N21" s="52">
        <f t="shared" si="4"/>
        <v>0</v>
      </c>
      <c r="O21" s="29"/>
      <c r="P21" s="30"/>
      <c r="Q21" s="30"/>
      <c r="R21" s="34"/>
      <c r="S21" s="31">
        <f t="shared" si="1"/>
        <v>0</v>
      </c>
      <c r="T21" s="50" t="e">
        <f t="shared" si="3"/>
        <v>#DIV/0!</v>
      </c>
      <c r="U21" s="210"/>
    </row>
    <row r="22" spans="1:21" ht="23.1" customHeight="1">
      <c r="A22" s="167" t="s">
        <v>76</v>
      </c>
      <c r="B22" s="53" t="s">
        <v>77</v>
      </c>
      <c r="C22" s="53"/>
      <c r="D22" s="397"/>
      <c r="E22" s="378"/>
      <c r="F22" s="100" t="s">
        <v>109</v>
      </c>
      <c r="G22" s="387"/>
      <c r="H22" s="29"/>
      <c r="I22" s="30"/>
      <c r="J22" s="30"/>
      <c r="K22" s="30"/>
      <c r="L22" s="30"/>
      <c r="M22" s="30"/>
      <c r="N22" s="52">
        <f t="shared" si="4"/>
        <v>0</v>
      </c>
      <c r="O22" s="29"/>
      <c r="P22" s="30"/>
      <c r="Q22" s="30"/>
      <c r="R22" s="34"/>
      <c r="S22" s="31">
        <f t="shared" si="1"/>
        <v>0</v>
      </c>
      <c r="T22" s="50" t="e">
        <f t="shared" si="3"/>
        <v>#DIV/0!</v>
      </c>
      <c r="U22" s="210"/>
    </row>
    <row r="23" spans="1:21" ht="23.1" customHeight="1" thickBot="1">
      <c r="A23" s="172" t="s">
        <v>82</v>
      </c>
      <c r="B23" s="55" t="s">
        <v>83</v>
      </c>
      <c r="C23" s="55"/>
      <c r="D23" s="56" t="s">
        <v>332</v>
      </c>
      <c r="E23" s="379">
        <v>241</v>
      </c>
      <c r="F23" s="101" t="s">
        <v>116</v>
      </c>
      <c r="G23" s="388">
        <v>53467</v>
      </c>
      <c r="H23" s="40"/>
      <c r="I23" s="38"/>
      <c r="J23" s="38"/>
      <c r="K23" s="38"/>
      <c r="L23" s="38"/>
      <c r="M23" s="38"/>
      <c r="N23" s="57">
        <f>SUM(H23:M23)</f>
        <v>0</v>
      </c>
      <c r="O23" s="40"/>
      <c r="P23" s="38"/>
      <c r="Q23" s="38"/>
      <c r="R23" s="38"/>
      <c r="S23" s="162">
        <f t="shared" si="1"/>
        <v>0</v>
      </c>
      <c r="T23" s="58">
        <f t="shared" si="3"/>
        <v>0</v>
      </c>
      <c r="U23" s="211"/>
    </row>
    <row r="24" spans="1:21" ht="23.1" customHeight="1" thickTop="1" thickBot="1">
      <c r="A24" s="431" t="s">
        <v>98</v>
      </c>
      <c r="B24" s="431"/>
      <c r="C24" s="108"/>
      <c r="D24" s="42"/>
      <c r="E24" s="380"/>
      <c r="F24" s="102"/>
      <c r="G24" s="389"/>
      <c r="H24" s="59">
        <f t="shared" ref="H24:R24" si="5">SUM(H25:H37)</f>
        <v>30552</v>
      </c>
      <c r="I24" s="60">
        <f t="shared" si="5"/>
        <v>0</v>
      </c>
      <c r="J24" s="60">
        <f t="shared" si="5"/>
        <v>0</v>
      </c>
      <c r="K24" s="60">
        <f t="shared" si="5"/>
        <v>0</v>
      </c>
      <c r="L24" s="60">
        <f t="shared" si="5"/>
        <v>0</v>
      </c>
      <c r="M24" s="60">
        <f t="shared" si="5"/>
        <v>0</v>
      </c>
      <c r="N24" s="61">
        <f t="shared" si="5"/>
        <v>30552</v>
      </c>
      <c r="O24" s="60">
        <f t="shared" si="5"/>
        <v>0</v>
      </c>
      <c r="P24" s="60">
        <f t="shared" si="5"/>
        <v>1085195</v>
      </c>
      <c r="Q24" s="60">
        <f t="shared" si="5"/>
        <v>0</v>
      </c>
      <c r="R24" s="346">
        <f t="shared" si="5"/>
        <v>505620</v>
      </c>
      <c r="S24" s="188">
        <f t="shared" si="1"/>
        <v>1621367</v>
      </c>
      <c r="T24" s="62"/>
      <c r="U24" s="214"/>
    </row>
    <row r="25" spans="1:21" ht="23.1" customHeight="1" thickTop="1">
      <c r="A25" s="173">
        <v>1</v>
      </c>
      <c r="B25" s="33" t="s">
        <v>0</v>
      </c>
      <c r="C25" s="112"/>
      <c r="D25" s="397" t="s">
        <v>233</v>
      </c>
      <c r="E25" s="378">
        <v>9465</v>
      </c>
      <c r="F25" s="100" t="s">
        <v>109</v>
      </c>
      <c r="G25" s="387">
        <v>212</v>
      </c>
      <c r="H25" s="47">
        <v>16560</v>
      </c>
      <c r="I25" s="48"/>
      <c r="J25" s="48"/>
      <c r="K25" s="48"/>
      <c r="L25" s="48"/>
      <c r="M25" s="48"/>
      <c r="N25" s="49">
        <f>SUM(H25:M25)</f>
        <v>16560</v>
      </c>
      <c r="O25" s="36"/>
      <c r="P25" s="34">
        <v>111316</v>
      </c>
      <c r="Q25" s="34"/>
      <c r="R25" s="34">
        <f>148034</f>
        <v>148034</v>
      </c>
      <c r="S25" s="187">
        <f t="shared" si="1"/>
        <v>275910</v>
      </c>
      <c r="T25" s="50">
        <f t="shared" ref="T25:T37" si="6">S25/E25</f>
        <v>29.150554675118858</v>
      </c>
      <c r="U25" s="210"/>
    </row>
    <row r="26" spans="1:21" ht="23.1" customHeight="1">
      <c r="A26" s="168" t="s">
        <v>183</v>
      </c>
      <c r="B26" s="33" t="s">
        <v>1</v>
      </c>
      <c r="C26" s="33"/>
      <c r="D26" s="397" t="s">
        <v>233</v>
      </c>
      <c r="E26" s="401">
        <v>12608</v>
      </c>
      <c r="F26" s="402" t="s">
        <v>109</v>
      </c>
      <c r="G26" s="403">
        <v>248</v>
      </c>
      <c r="H26" s="36"/>
      <c r="I26" s="34"/>
      <c r="J26" s="34"/>
      <c r="K26" s="34"/>
      <c r="L26" s="34"/>
      <c r="M26" s="34"/>
      <c r="N26" s="52">
        <f t="shared" ref="N26:N36" si="7">SUM(H26:M26)</f>
        <v>0</v>
      </c>
      <c r="O26" s="36"/>
      <c r="P26" s="34">
        <v>229969</v>
      </c>
      <c r="Q26" s="34"/>
      <c r="R26" s="34"/>
      <c r="S26" s="31">
        <f t="shared" si="1"/>
        <v>229969</v>
      </c>
      <c r="T26" s="404">
        <f>S26/E26</f>
        <v>18.239927030456851</v>
      </c>
      <c r="U26" s="210"/>
    </row>
    <row r="27" spans="1:21" ht="23.1" customHeight="1">
      <c r="A27" s="171">
        <v>2</v>
      </c>
      <c r="B27" s="51" t="s">
        <v>2</v>
      </c>
      <c r="C27" s="51"/>
      <c r="D27" s="397" t="s">
        <v>233</v>
      </c>
      <c r="E27" s="401">
        <v>18213</v>
      </c>
      <c r="F27" s="402" t="s">
        <v>109</v>
      </c>
      <c r="G27" s="403">
        <v>267</v>
      </c>
      <c r="H27" s="36"/>
      <c r="I27" s="34"/>
      <c r="J27" s="34"/>
      <c r="K27" s="34"/>
      <c r="L27" s="34"/>
      <c r="M27" s="34"/>
      <c r="N27" s="52">
        <f t="shared" si="7"/>
        <v>0</v>
      </c>
      <c r="O27" s="36"/>
      <c r="P27" s="34">
        <v>114318</v>
      </c>
      <c r="Q27" s="34"/>
      <c r="R27" s="34">
        <f>189984+98849</f>
        <v>288833</v>
      </c>
      <c r="S27" s="31">
        <f t="shared" si="1"/>
        <v>403151</v>
      </c>
      <c r="T27" s="404">
        <f t="shared" si="6"/>
        <v>22.135342886948884</v>
      </c>
      <c r="U27" s="210"/>
    </row>
    <row r="28" spans="1:21" ht="23.1" customHeight="1">
      <c r="A28" s="174" t="s">
        <v>184</v>
      </c>
      <c r="B28" s="51" t="s">
        <v>3</v>
      </c>
      <c r="C28" s="51"/>
      <c r="D28" s="397" t="s">
        <v>233</v>
      </c>
      <c r="E28" s="401">
        <v>32852</v>
      </c>
      <c r="F28" s="402" t="s">
        <v>109</v>
      </c>
      <c r="G28" s="403">
        <v>373</v>
      </c>
      <c r="H28" s="36"/>
      <c r="I28" s="34"/>
      <c r="J28" s="34"/>
      <c r="K28" s="34"/>
      <c r="L28" s="34"/>
      <c r="M28" s="34"/>
      <c r="N28" s="52">
        <f t="shared" si="7"/>
        <v>0</v>
      </c>
      <c r="O28" s="36"/>
      <c r="P28" s="34">
        <v>598126</v>
      </c>
      <c r="Q28" s="34"/>
      <c r="R28" s="34"/>
      <c r="S28" s="31">
        <f t="shared" si="1"/>
        <v>598126</v>
      </c>
      <c r="T28" s="404">
        <f t="shared" si="6"/>
        <v>18.206684524534275</v>
      </c>
      <c r="U28" s="210"/>
    </row>
    <row r="29" spans="1:21" ht="23.1" customHeight="1">
      <c r="A29" s="171">
        <v>3</v>
      </c>
      <c r="B29" s="33" t="s">
        <v>4</v>
      </c>
      <c r="C29" s="33"/>
      <c r="D29" s="397" t="s">
        <v>233</v>
      </c>
      <c r="E29" s="378">
        <v>8692</v>
      </c>
      <c r="F29" s="100" t="s">
        <v>109</v>
      </c>
      <c r="G29" s="387">
        <v>71</v>
      </c>
      <c r="H29" s="36"/>
      <c r="I29" s="34"/>
      <c r="J29" s="34"/>
      <c r="K29" s="34"/>
      <c r="L29" s="34"/>
      <c r="M29" s="34"/>
      <c r="N29" s="52">
        <f t="shared" si="7"/>
        <v>0</v>
      </c>
      <c r="O29" s="36"/>
      <c r="P29" s="34">
        <v>20000</v>
      </c>
      <c r="Q29" s="34"/>
      <c r="R29" s="34"/>
      <c r="S29" s="31">
        <f t="shared" si="1"/>
        <v>20000</v>
      </c>
      <c r="T29" s="50">
        <f t="shared" si="6"/>
        <v>2.300966405890474</v>
      </c>
      <c r="U29" s="210"/>
    </row>
    <row r="30" spans="1:21" ht="23.1" customHeight="1">
      <c r="A30" s="168" t="s">
        <v>185</v>
      </c>
      <c r="B30" s="33" t="s">
        <v>5</v>
      </c>
      <c r="C30" s="33"/>
      <c r="D30" s="397"/>
      <c r="E30" s="378"/>
      <c r="F30" s="100" t="s">
        <v>109</v>
      </c>
      <c r="G30" s="387"/>
      <c r="H30" s="36"/>
      <c r="I30" s="34"/>
      <c r="J30" s="34"/>
      <c r="K30" s="34"/>
      <c r="L30" s="34"/>
      <c r="M30" s="34"/>
      <c r="N30" s="52">
        <f t="shared" si="7"/>
        <v>0</v>
      </c>
      <c r="O30" s="36"/>
      <c r="P30" s="34"/>
      <c r="Q30" s="34"/>
      <c r="R30" s="34"/>
      <c r="S30" s="31">
        <f t="shared" si="1"/>
        <v>0</v>
      </c>
      <c r="T30" s="50" t="e">
        <f t="shared" si="6"/>
        <v>#DIV/0!</v>
      </c>
      <c r="U30" s="210"/>
    </row>
    <row r="31" spans="1:21" ht="23.1" customHeight="1">
      <c r="A31" s="171">
        <v>5</v>
      </c>
      <c r="B31" s="33" t="s">
        <v>6</v>
      </c>
      <c r="C31" s="33"/>
      <c r="D31" s="397" t="s">
        <v>233</v>
      </c>
      <c r="E31" s="378">
        <v>152</v>
      </c>
      <c r="F31" s="100" t="s">
        <v>109</v>
      </c>
      <c r="G31" s="387">
        <v>5</v>
      </c>
      <c r="H31" s="36">
        <v>2630</v>
      </c>
      <c r="I31" s="34"/>
      <c r="J31" s="34"/>
      <c r="K31" s="34"/>
      <c r="L31" s="34"/>
      <c r="M31" s="34"/>
      <c r="N31" s="52">
        <f t="shared" si="7"/>
        <v>2630</v>
      </c>
      <c r="O31" s="36"/>
      <c r="P31" s="34">
        <v>11466</v>
      </c>
      <c r="Q31" s="34"/>
      <c r="R31" s="34">
        <f>2404</f>
        <v>2404</v>
      </c>
      <c r="S31" s="31">
        <f t="shared" si="1"/>
        <v>16500</v>
      </c>
      <c r="T31" s="50">
        <f t="shared" si="6"/>
        <v>108.55263157894737</v>
      </c>
      <c r="U31" s="210"/>
    </row>
    <row r="32" spans="1:21" ht="23.1" customHeight="1">
      <c r="A32" s="168" t="s">
        <v>28</v>
      </c>
      <c r="B32" s="51" t="s">
        <v>29</v>
      </c>
      <c r="C32" s="51"/>
      <c r="D32" s="397"/>
      <c r="E32" s="378"/>
      <c r="F32" s="100" t="s">
        <v>113</v>
      </c>
      <c r="G32" s="387"/>
      <c r="H32" s="36"/>
      <c r="I32" s="34"/>
      <c r="J32" s="34"/>
      <c r="K32" s="34"/>
      <c r="L32" s="34"/>
      <c r="M32" s="34"/>
      <c r="N32" s="52">
        <f t="shared" si="7"/>
        <v>0</v>
      </c>
      <c r="O32" s="36"/>
      <c r="P32" s="34"/>
      <c r="Q32" s="34"/>
      <c r="R32" s="34"/>
      <c r="S32" s="31">
        <f t="shared" si="1"/>
        <v>0</v>
      </c>
      <c r="T32" s="50" t="e">
        <f t="shared" si="6"/>
        <v>#DIV/0!</v>
      </c>
      <c r="U32" s="210"/>
    </row>
    <row r="33" spans="1:21" ht="23.1" customHeight="1">
      <c r="A33" s="168" t="s">
        <v>30</v>
      </c>
      <c r="B33" s="51" t="s">
        <v>31</v>
      </c>
      <c r="C33" s="51"/>
      <c r="D33" s="397"/>
      <c r="E33" s="378"/>
      <c r="F33" s="100" t="s">
        <v>109</v>
      </c>
      <c r="G33" s="387"/>
      <c r="H33" s="36"/>
      <c r="I33" s="34"/>
      <c r="J33" s="34"/>
      <c r="K33" s="34"/>
      <c r="L33" s="34"/>
      <c r="M33" s="34"/>
      <c r="N33" s="52">
        <f t="shared" si="7"/>
        <v>0</v>
      </c>
      <c r="O33" s="36"/>
      <c r="P33" s="34"/>
      <c r="Q33" s="34"/>
      <c r="R33" s="34"/>
      <c r="S33" s="31">
        <f t="shared" si="1"/>
        <v>0</v>
      </c>
      <c r="T33" s="50" t="e">
        <f t="shared" si="6"/>
        <v>#DIV/0!</v>
      </c>
      <c r="U33" s="210"/>
    </row>
    <row r="34" spans="1:21" ht="23.1" customHeight="1">
      <c r="A34" s="168" t="s">
        <v>49</v>
      </c>
      <c r="B34" s="51" t="s">
        <v>220</v>
      </c>
      <c r="C34" s="51"/>
      <c r="D34" s="397"/>
      <c r="E34" s="378"/>
      <c r="F34" s="100" t="s">
        <v>231</v>
      </c>
      <c r="G34" s="387"/>
      <c r="H34" s="36"/>
      <c r="I34" s="34"/>
      <c r="J34" s="34"/>
      <c r="K34" s="34"/>
      <c r="L34" s="34"/>
      <c r="M34" s="34"/>
      <c r="N34" s="52">
        <f t="shared" si="7"/>
        <v>0</v>
      </c>
      <c r="O34" s="36"/>
      <c r="P34" s="34"/>
      <c r="Q34" s="34"/>
      <c r="R34" s="34"/>
      <c r="S34" s="31">
        <f t="shared" si="1"/>
        <v>0</v>
      </c>
      <c r="T34" s="50" t="e">
        <f t="shared" si="6"/>
        <v>#DIV/0!</v>
      </c>
      <c r="U34" s="210"/>
    </row>
    <row r="35" spans="1:21" ht="23.1" customHeight="1">
      <c r="A35" s="168" t="s">
        <v>50</v>
      </c>
      <c r="B35" s="33" t="s">
        <v>51</v>
      </c>
      <c r="C35" s="33"/>
      <c r="D35" s="397"/>
      <c r="E35" s="378"/>
      <c r="F35" s="100" t="s">
        <v>109</v>
      </c>
      <c r="G35" s="387"/>
      <c r="H35" s="36"/>
      <c r="I35" s="34"/>
      <c r="J35" s="34"/>
      <c r="K35" s="34"/>
      <c r="L35" s="34"/>
      <c r="M35" s="34"/>
      <c r="N35" s="52">
        <f t="shared" si="7"/>
        <v>0</v>
      </c>
      <c r="O35" s="36"/>
      <c r="P35" s="34"/>
      <c r="Q35" s="34"/>
      <c r="R35" s="34"/>
      <c r="S35" s="31">
        <f t="shared" si="1"/>
        <v>0</v>
      </c>
      <c r="T35" s="50" t="e">
        <f t="shared" si="6"/>
        <v>#DIV/0!</v>
      </c>
      <c r="U35" s="210"/>
    </row>
    <row r="36" spans="1:21" ht="23.1" customHeight="1">
      <c r="A36" s="168" t="s">
        <v>62</v>
      </c>
      <c r="B36" s="53" t="s">
        <v>63</v>
      </c>
      <c r="C36" s="53"/>
      <c r="D36" s="397" t="s">
        <v>233</v>
      </c>
      <c r="E36" s="378">
        <v>678</v>
      </c>
      <c r="F36" s="100" t="s">
        <v>111</v>
      </c>
      <c r="G36" s="387">
        <v>285</v>
      </c>
      <c r="H36" s="36"/>
      <c r="I36" s="34"/>
      <c r="J36" s="34"/>
      <c r="K36" s="34"/>
      <c r="L36" s="34"/>
      <c r="M36" s="34"/>
      <c r="N36" s="52">
        <f t="shared" si="7"/>
        <v>0</v>
      </c>
      <c r="O36" s="36"/>
      <c r="P36" s="34"/>
      <c r="Q36" s="34"/>
      <c r="R36" s="34">
        <f>6572</f>
        <v>6572</v>
      </c>
      <c r="S36" s="31">
        <f t="shared" si="1"/>
        <v>6572</v>
      </c>
      <c r="T36" s="50">
        <f t="shared" si="6"/>
        <v>9.6932153392330385</v>
      </c>
      <c r="U36" s="210"/>
    </row>
    <row r="37" spans="1:21" ht="23.1" customHeight="1" thickBot="1">
      <c r="A37" s="169" t="s">
        <v>94</v>
      </c>
      <c r="B37" s="63" t="s">
        <v>95</v>
      </c>
      <c r="C37" s="63"/>
      <c r="D37" s="56" t="s">
        <v>331</v>
      </c>
      <c r="E37" s="379">
        <v>64446</v>
      </c>
      <c r="F37" s="101" t="s">
        <v>109</v>
      </c>
      <c r="G37" s="390">
        <v>102</v>
      </c>
      <c r="H37" s="40">
        <v>11362</v>
      </c>
      <c r="I37" s="38"/>
      <c r="J37" s="38"/>
      <c r="K37" s="38"/>
      <c r="L37" s="38"/>
      <c r="M37" s="38"/>
      <c r="N37" s="57">
        <f>SUM(H37:M37)</f>
        <v>11362</v>
      </c>
      <c r="O37" s="40"/>
      <c r="P37" s="38"/>
      <c r="Q37" s="38"/>
      <c r="R37" s="38">
        <f>48945+10832</f>
        <v>59777</v>
      </c>
      <c r="S37" s="162">
        <f t="shared" si="1"/>
        <v>71139</v>
      </c>
      <c r="T37" s="58">
        <f t="shared" si="6"/>
        <v>1.1038543897216273</v>
      </c>
      <c r="U37" s="211"/>
    </row>
    <row r="38" spans="1:21" ht="23.1" customHeight="1" thickTop="1" thickBot="1">
      <c r="A38" s="432" t="s">
        <v>101</v>
      </c>
      <c r="B38" s="432"/>
      <c r="C38" s="107"/>
      <c r="D38" s="42"/>
      <c r="E38" s="380"/>
      <c r="F38" s="102"/>
      <c r="G38" s="389"/>
      <c r="H38" s="22">
        <f>SUM(H39)</f>
        <v>31801</v>
      </c>
      <c r="I38" s="23">
        <f t="shared" ref="I38:R38" si="8">SUM(I39)</f>
        <v>0</v>
      </c>
      <c r="J38" s="23">
        <f t="shared" si="8"/>
        <v>0</v>
      </c>
      <c r="K38" s="23">
        <f t="shared" si="8"/>
        <v>0</v>
      </c>
      <c r="L38" s="23">
        <f t="shared" si="8"/>
        <v>0</v>
      </c>
      <c r="M38" s="23">
        <f t="shared" si="8"/>
        <v>0</v>
      </c>
      <c r="N38" s="24">
        <f t="shared" si="8"/>
        <v>31801</v>
      </c>
      <c r="O38" s="23">
        <f t="shared" si="8"/>
        <v>0</v>
      </c>
      <c r="P38" s="23">
        <f t="shared" si="8"/>
        <v>0</v>
      </c>
      <c r="Q38" s="23">
        <f t="shared" si="8"/>
        <v>0</v>
      </c>
      <c r="R38" s="347">
        <f t="shared" si="8"/>
        <v>24074</v>
      </c>
      <c r="S38" s="188">
        <f t="shared" si="1"/>
        <v>55875</v>
      </c>
      <c r="T38" s="45"/>
      <c r="U38" s="212"/>
    </row>
    <row r="39" spans="1:21" ht="23.1" customHeight="1" thickTop="1" thickBot="1">
      <c r="A39" s="175">
        <v>11</v>
      </c>
      <c r="B39" s="63" t="s">
        <v>12</v>
      </c>
      <c r="C39" s="113"/>
      <c r="D39" s="56" t="s">
        <v>233</v>
      </c>
      <c r="E39" s="379">
        <v>1650</v>
      </c>
      <c r="F39" s="101" t="s">
        <v>109</v>
      </c>
      <c r="G39" s="390">
        <v>975</v>
      </c>
      <c r="H39" s="64">
        <v>31801</v>
      </c>
      <c r="I39" s="65"/>
      <c r="J39" s="65"/>
      <c r="K39" s="65"/>
      <c r="L39" s="65"/>
      <c r="M39" s="65"/>
      <c r="N39" s="66">
        <f>SUM(H39:M39)</f>
        <v>31801</v>
      </c>
      <c r="O39" s="40"/>
      <c r="P39" s="38"/>
      <c r="Q39" s="38"/>
      <c r="R39" s="38">
        <f>24074</f>
        <v>24074</v>
      </c>
      <c r="S39" s="80">
        <f t="shared" ref="S39:S71" si="9">N39+O39+P39+R39</f>
        <v>55875</v>
      </c>
      <c r="T39" s="58">
        <f>S39/E39</f>
        <v>33.863636363636367</v>
      </c>
      <c r="U39" s="211"/>
    </row>
    <row r="40" spans="1:21" ht="23.1" customHeight="1" thickTop="1" thickBot="1">
      <c r="A40" s="432" t="s">
        <v>102</v>
      </c>
      <c r="B40" s="432"/>
      <c r="C40" s="107"/>
      <c r="D40" s="42"/>
      <c r="E40" s="380"/>
      <c r="F40" s="102"/>
      <c r="G40" s="389"/>
      <c r="H40" s="22">
        <f t="shared" ref="H40:R40" si="10">SUM(H41:H44)</f>
        <v>0</v>
      </c>
      <c r="I40" s="23">
        <f t="shared" si="10"/>
        <v>385963</v>
      </c>
      <c r="J40" s="23">
        <f t="shared" si="10"/>
        <v>585897</v>
      </c>
      <c r="K40" s="23">
        <f t="shared" si="10"/>
        <v>0</v>
      </c>
      <c r="L40" s="23">
        <f t="shared" si="10"/>
        <v>0</v>
      </c>
      <c r="M40" s="23">
        <f t="shared" si="10"/>
        <v>0</v>
      </c>
      <c r="N40" s="24">
        <f t="shared" si="10"/>
        <v>971860</v>
      </c>
      <c r="O40" s="23">
        <f t="shared" si="10"/>
        <v>481895</v>
      </c>
      <c r="P40" s="23">
        <f t="shared" si="10"/>
        <v>0</v>
      </c>
      <c r="Q40" s="23">
        <f t="shared" si="10"/>
        <v>0</v>
      </c>
      <c r="R40" s="347">
        <f t="shared" si="10"/>
        <v>537716</v>
      </c>
      <c r="S40" s="188">
        <f t="shared" si="9"/>
        <v>1991471</v>
      </c>
      <c r="T40" s="45"/>
      <c r="U40" s="212"/>
    </row>
    <row r="41" spans="1:21" ht="23.1" customHeight="1" thickTop="1">
      <c r="A41" s="170">
        <v>4</v>
      </c>
      <c r="B41" s="33" t="s">
        <v>115</v>
      </c>
      <c r="C41" s="112"/>
      <c r="D41" s="397" t="s">
        <v>233</v>
      </c>
      <c r="E41" s="378">
        <v>406833</v>
      </c>
      <c r="F41" s="100" t="s">
        <v>114</v>
      </c>
      <c r="G41" s="387">
        <v>3209</v>
      </c>
      <c r="H41" s="47"/>
      <c r="I41" s="48"/>
      <c r="J41" s="48">
        <f>585897</f>
        <v>585897</v>
      </c>
      <c r="K41" s="48"/>
      <c r="L41" s="48"/>
      <c r="M41" s="48"/>
      <c r="N41" s="49">
        <f>SUM(H41:M41)</f>
        <v>585897</v>
      </c>
      <c r="O41" s="36">
        <v>199016</v>
      </c>
      <c r="P41" s="34"/>
      <c r="Q41" s="34"/>
      <c r="R41" s="34">
        <f>73000+92617</f>
        <v>165617</v>
      </c>
      <c r="S41" s="187">
        <f>N41+O41+P41+R41</f>
        <v>950530</v>
      </c>
      <c r="T41" s="50">
        <f>S41/E41</f>
        <v>2.33641322114971</v>
      </c>
      <c r="U41" s="210"/>
    </row>
    <row r="42" spans="1:21" ht="23.1" customHeight="1">
      <c r="A42" s="171">
        <v>7</v>
      </c>
      <c r="B42" s="33" t="s">
        <v>8</v>
      </c>
      <c r="C42" s="33"/>
      <c r="D42" s="397" t="s">
        <v>233</v>
      </c>
      <c r="E42" s="378">
        <v>234163</v>
      </c>
      <c r="F42" s="100" t="s">
        <v>114</v>
      </c>
      <c r="G42" s="387">
        <v>6524</v>
      </c>
      <c r="H42" s="36"/>
      <c r="I42" s="34">
        <f>385963</f>
        <v>385963</v>
      </c>
      <c r="J42" s="34"/>
      <c r="K42" s="34"/>
      <c r="L42" s="34"/>
      <c r="M42" s="34"/>
      <c r="N42" s="52">
        <f>SUM(H42:M42)</f>
        <v>385963</v>
      </c>
      <c r="O42" s="36">
        <v>282879</v>
      </c>
      <c r="P42" s="34"/>
      <c r="Q42" s="34"/>
      <c r="R42" s="34">
        <f>111099+261000</f>
        <v>372099</v>
      </c>
      <c r="S42" s="31">
        <f t="shared" si="9"/>
        <v>1040941</v>
      </c>
      <c r="T42" s="50">
        <f>S42/E42</f>
        <v>4.4453692513334726</v>
      </c>
      <c r="U42" s="210"/>
    </row>
    <row r="43" spans="1:21" ht="23.1" customHeight="1">
      <c r="A43" s="171">
        <v>8</v>
      </c>
      <c r="B43" s="33" t="s">
        <v>9</v>
      </c>
      <c r="C43" s="33"/>
      <c r="D43" s="397"/>
      <c r="E43" s="378"/>
      <c r="F43" s="100" t="s">
        <v>230</v>
      </c>
      <c r="G43" s="387"/>
      <c r="H43" s="36"/>
      <c r="I43" s="34"/>
      <c r="J43" s="34"/>
      <c r="K43" s="34"/>
      <c r="L43" s="34"/>
      <c r="M43" s="34"/>
      <c r="N43" s="52">
        <f>SUM(H43:M43)</f>
        <v>0</v>
      </c>
      <c r="O43" s="36"/>
      <c r="P43" s="34"/>
      <c r="Q43" s="34"/>
      <c r="R43" s="34"/>
      <c r="S43" s="31">
        <f t="shared" si="9"/>
        <v>0</v>
      </c>
      <c r="T43" s="50" t="e">
        <f>S43/E43</f>
        <v>#DIV/0!</v>
      </c>
      <c r="U43" s="210"/>
    </row>
    <row r="44" spans="1:21" ht="23.1" customHeight="1" thickBot="1">
      <c r="A44" s="176">
        <v>12</v>
      </c>
      <c r="B44" s="63" t="s">
        <v>13</v>
      </c>
      <c r="C44" s="63"/>
      <c r="D44" s="56"/>
      <c r="E44" s="406">
        <v>4018</v>
      </c>
      <c r="F44" s="407" t="s">
        <v>230</v>
      </c>
      <c r="G44" s="408" t="s">
        <v>330</v>
      </c>
      <c r="H44" s="40"/>
      <c r="I44" s="38"/>
      <c r="J44" s="38"/>
      <c r="K44" s="38"/>
      <c r="L44" s="38"/>
      <c r="M44" s="38"/>
      <c r="N44" s="57">
        <f>SUM(H44:M44)</f>
        <v>0</v>
      </c>
      <c r="O44" s="40"/>
      <c r="P44" s="38"/>
      <c r="Q44" s="38"/>
      <c r="R44" s="38"/>
      <c r="S44" s="350">
        <f t="shared" si="9"/>
        <v>0</v>
      </c>
      <c r="T44" s="58">
        <f>S44/E44</f>
        <v>0</v>
      </c>
      <c r="U44" s="211" t="s">
        <v>336</v>
      </c>
    </row>
    <row r="45" spans="1:21" ht="73.5" customHeight="1" thickTop="1" thickBot="1">
      <c r="A45" s="177"/>
      <c r="B45" s="161"/>
      <c r="C45" s="161"/>
      <c r="D45" s="239" t="s">
        <v>201</v>
      </c>
      <c r="E45" s="381" t="s">
        <v>181</v>
      </c>
      <c r="F45" s="239" t="s">
        <v>202</v>
      </c>
      <c r="G45" s="391" t="s">
        <v>203</v>
      </c>
      <c r="H45" s="64"/>
      <c r="I45" s="164"/>
      <c r="J45" s="164"/>
      <c r="K45" s="164"/>
      <c r="L45" s="164"/>
      <c r="M45" s="164"/>
      <c r="N45" s="165"/>
      <c r="O45" s="166"/>
      <c r="P45" s="164"/>
      <c r="Q45" s="164"/>
      <c r="R45" s="164"/>
      <c r="S45" s="80"/>
      <c r="T45" s="163"/>
      <c r="U45" s="215"/>
    </row>
    <row r="46" spans="1:21" ht="41.25" customHeight="1" thickTop="1" thickBot="1">
      <c r="A46" s="435" t="s">
        <v>100</v>
      </c>
      <c r="B46" s="436"/>
      <c r="C46" s="159"/>
      <c r="D46" s="189"/>
      <c r="E46" s="382"/>
      <c r="F46" s="190"/>
      <c r="G46" s="392"/>
      <c r="H46" s="22">
        <f>SUM(H47:H62)</f>
        <v>0</v>
      </c>
      <c r="I46" s="23">
        <f t="shared" ref="I46:R46" si="11">SUM(I47:I62)</f>
        <v>0</v>
      </c>
      <c r="J46" s="23">
        <f t="shared" si="11"/>
        <v>0</v>
      </c>
      <c r="K46" s="23">
        <f t="shared" si="11"/>
        <v>0</v>
      </c>
      <c r="L46" s="23">
        <f t="shared" si="11"/>
        <v>270649</v>
      </c>
      <c r="M46" s="23">
        <f t="shared" si="11"/>
        <v>0</v>
      </c>
      <c r="N46" s="24">
        <f t="shared" si="11"/>
        <v>270649</v>
      </c>
      <c r="O46" s="23">
        <f t="shared" si="11"/>
        <v>0</v>
      </c>
      <c r="P46" s="23">
        <f t="shared" si="11"/>
        <v>0</v>
      </c>
      <c r="Q46" s="23">
        <f t="shared" si="11"/>
        <v>0</v>
      </c>
      <c r="R46" s="347">
        <f t="shared" si="11"/>
        <v>208484</v>
      </c>
      <c r="S46" s="188">
        <f t="shared" si="9"/>
        <v>479133</v>
      </c>
      <c r="T46" s="45"/>
      <c r="U46" s="212"/>
    </row>
    <row r="47" spans="1:21" ht="23.1" customHeight="1" thickTop="1">
      <c r="A47" s="170">
        <v>15</v>
      </c>
      <c r="B47" s="33" t="s">
        <v>16</v>
      </c>
      <c r="C47" s="112"/>
      <c r="D47" s="397" t="s">
        <v>332</v>
      </c>
      <c r="E47" s="378">
        <v>214</v>
      </c>
      <c r="F47" s="100" t="s">
        <v>116</v>
      </c>
      <c r="G47" s="387">
        <v>3419</v>
      </c>
      <c r="H47" s="67"/>
      <c r="I47" s="27"/>
      <c r="J47" s="27"/>
      <c r="K47" s="27"/>
      <c r="L47" s="27"/>
      <c r="M47" s="27"/>
      <c r="N47" s="28">
        <f>SUM(H47:M47)</f>
        <v>0</v>
      </c>
      <c r="O47" s="29"/>
      <c r="P47" s="30"/>
      <c r="Q47" s="30"/>
      <c r="R47" s="34">
        <f>39357+18097</f>
        <v>57454</v>
      </c>
      <c r="S47" s="187">
        <f t="shared" si="9"/>
        <v>57454</v>
      </c>
      <c r="T47" s="50">
        <f t="shared" ref="T47:T62" si="12">S47/E47</f>
        <v>268.47663551401871</v>
      </c>
      <c r="U47" s="210"/>
    </row>
    <row r="48" spans="1:21" ht="23.1" customHeight="1">
      <c r="A48" s="168" t="s">
        <v>17</v>
      </c>
      <c r="B48" s="33" t="s">
        <v>18</v>
      </c>
      <c r="C48" s="33"/>
      <c r="D48" s="397"/>
      <c r="E48" s="378"/>
      <c r="F48" s="100" t="s">
        <v>116</v>
      </c>
      <c r="G48" s="387"/>
      <c r="H48" s="29"/>
      <c r="I48" s="30"/>
      <c r="J48" s="30"/>
      <c r="K48" s="30"/>
      <c r="L48" s="30"/>
      <c r="M48" s="30"/>
      <c r="N48" s="35">
        <f t="shared" ref="N48:N62" si="13">SUM(H48:M48)</f>
        <v>0</v>
      </c>
      <c r="O48" s="29"/>
      <c r="P48" s="30"/>
      <c r="Q48" s="30"/>
      <c r="R48" s="34"/>
      <c r="S48" s="31">
        <f t="shared" si="9"/>
        <v>0</v>
      </c>
      <c r="T48" s="50" t="e">
        <f t="shared" si="12"/>
        <v>#DIV/0!</v>
      </c>
      <c r="U48" s="210"/>
    </row>
    <row r="49" spans="1:21" ht="23.1" customHeight="1">
      <c r="A49" s="171">
        <v>16</v>
      </c>
      <c r="B49" s="51" t="s">
        <v>19</v>
      </c>
      <c r="C49" s="51"/>
      <c r="D49" s="397" t="s">
        <v>331</v>
      </c>
      <c r="E49" s="378">
        <v>8612</v>
      </c>
      <c r="F49" s="100" t="s">
        <v>111</v>
      </c>
      <c r="G49" s="387">
        <v>352</v>
      </c>
      <c r="H49" s="29"/>
      <c r="I49" s="30"/>
      <c r="J49" s="30"/>
      <c r="K49" s="30"/>
      <c r="L49" s="30">
        <f>122794+88104+2000</f>
        <v>212898</v>
      </c>
      <c r="M49" s="30"/>
      <c r="N49" s="35">
        <f t="shared" si="13"/>
        <v>212898</v>
      </c>
      <c r="O49" s="29"/>
      <c r="P49" s="30"/>
      <c r="Q49" s="30"/>
      <c r="R49" s="34">
        <f>37679+29413+38605</f>
        <v>105697</v>
      </c>
      <c r="S49" s="31">
        <f t="shared" si="9"/>
        <v>318595</v>
      </c>
      <c r="T49" s="50">
        <f t="shared" si="12"/>
        <v>36.994310264746865</v>
      </c>
      <c r="U49" s="210"/>
    </row>
    <row r="50" spans="1:21" ht="23.1" customHeight="1">
      <c r="A50" s="168" t="s">
        <v>20</v>
      </c>
      <c r="B50" s="68" t="s">
        <v>21</v>
      </c>
      <c r="C50" s="68"/>
      <c r="D50" s="397"/>
      <c r="E50" s="378"/>
      <c r="F50" s="100" t="s">
        <v>111</v>
      </c>
      <c r="G50" s="387"/>
      <c r="H50" s="29"/>
      <c r="I50" s="30"/>
      <c r="J50" s="30"/>
      <c r="K50" s="30"/>
      <c r="L50" s="30"/>
      <c r="M50" s="30"/>
      <c r="N50" s="35">
        <f t="shared" si="13"/>
        <v>0</v>
      </c>
      <c r="O50" s="29"/>
      <c r="P50" s="30"/>
      <c r="Q50" s="30"/>
      <c r="R50" s="34"/>
      <c r="S50" s="31">
        <f t="shared" si="9"/>
        <v>0</v>
      </c>
      <c r="T50" s="50" t="e">
        <f t="shared" si="12"/>
        <v>#DIV/0!</v>
      </c>
      <c r="U50" s="210"/>
    </row>
    <row r="51" spans="1:21" ht="23.1" customHeight="1">
      <c r="A51" s="168" t="s">
        <v>32</v>
      </c>
      <c r="B51" s="33" t="s">
        <v>33</v>
      </c>
      <c r="C51" s="33"/>
      <c r="D51" s="397"/>
      <c r="E51" s="378"/>
      <c r="F51" s="100" t="s">
        <v>109</v>
      </c>
      <c r="G51" s="387"/>
      <c r="H51" s="29"/>
      <c r="I51" s="30"/>
      <c r="J51" s="30"/>
      <c r="K51" s="30"/>
      <c r="L51" s="30"/>
      <c r="M51" s="30"/>
      <c r="N51" s="35">
        <f t="shared" si="13"/>
        <v>0</v>
      </c>
      <c r="O51" s="29"/>
      <c r="P51" s="30"/>
      <c r="Q51" s="30"/>
      <c r="R51" s="34"/>
      <c r="S51" s="31">
        <f t="shared" si="9"/>
        <v>0</v>
      </c>
      <c r="T51" s="50" t="e">
        <f t="shared" si="12"/>
        <v>#DIV/0!</v>
      </c>
      <c r="U51" s="210"/>
    </row>
    <row r="52" spans="1:21" ht="23.1" customHeight="1">
      <c r="A52" s="168" t="s">
        <v>34</v>
      </c>
      <c r="B52" s="33" t="s">
        <v>35</v>
      </c>
      <c r="C52" s="33"/>
      <c r="D52" s="397"/>
      <c r="E52" s="378"/>
      <c r="F52" s="100" t="s">
        <v>109</v>
      </c>
      <c r="G52" s="387"/>
      <c r="H52" s="29"/>
      <c r="I52" s="30"/>
      <c r="J52" s="30"/>
      <c r="K52" s="30"/>
      <c r="L52" s="30"/>
      <c r="M52" s="30"/>
      <c r="N52" s="35">
        <f t="shared" si="13"/>
        <v>0</v>
      </c>
      <c r="O52" s="29"/>
      <c r="P52" s="30"/>
      <c r="Q52" s="30"/>
      <c r="R52" s="34"/>
      <c r="S52" s="31">
        <f t="shared" si="9"/>
        <v>0</v>
      </c>
      <c r="T52" s="50" t="e">
        <f t="shared" si="12"/>
        <v>#DIV/0!</v>
      </c>
      <c r="U52" s="210"/>
    </row>
    <row r="53" spans="1:21" ht="23.1" customHeight="1">
      <c r="A53" s="168" t="s">
        <v>36</v>
      </c>
      <c r="B53" s="33" t="s">
        <v>37</v>
      </c>
      <c r="C53" s="33"/>
      <c r="D53" s="397"/>
      <c r="E53" s="378"/>
      <c r="F53" s="100" t="s">
        <v>230</v>
      </c>
      <c r="G53" s="387"/>
      <c r="H53" s="29"/>
      <c r="I53" s="30"/>
      <c r="J53" s="30"/>
      <c r="K53" s="30"/>
      <c r="L53" s="30"/>
      <c r="M53" s="30"/>
      <c r="N53" s="35">
        <f t="shared" si="13"/>
        <v>0</v>
      </c>
      <c r="O53" s="29"/>
      <c r="P53" s="30"/>
      <c r="Q53" s="30"/>
      <c r="R53" s="34"/>
      <c r="S53" s="31">
        <f t="shared" si="9"/>
        <v>0</v>
      </c>
      <c r="T53" s="50" t="e">
        <f t="shared" si="12"/>
        <v>#DIV/0!</v>
      </c>
      <c r="U53" s="210"/>
    </row>
    <row r="54" spans="1:21" ht="23.1" customHeight="1">
      <c r="A54" s="168" t="s">
        <v>38</v>
      </c>
      <c r="B54" s="33" t="s">
        <v>119</v>
      </c>
      <c r="C54" s="33"/>
      <c r="D54" s="397"/>
      <c r="E54" s="378"/>
      <c r="F54" s="100" t="s">
        <v>230</v>
      </c>
      <c r="G54" s="387"/>
      <c r="H54" s="29"/>
      <c r="I54" s="30"/>
      <c r="J54" s="30"/>
      <c r="K54" s="30"/>
      <c r="L54" s="30"/>
      <c r="M54" s="30"/>
      <c r="N54" s="35">
        <f t="shared" si="13"/>
        <v>0</v>
      </c>
      <c r="O54" s="29"/>
      <c r="P54" s="30"/>
      <c r="Q54" s="30"/>
      <c r="R54" s="34"/>
      <c r="S54" s="31">
        <f t="shared" si="9"/>
        <v>0</v>
      </c>
      <c r="T54" s="50" t="e">
        <f t="shared" si="12"/>
        <v>#DIV/0!</v>
      </c>
      <c r="U54" s="210"/>
    </row>
    <row r="55" spans="1:21" ht="23.1" customHeight="1">
      <c r="A55" s="174" t="s">
        <v>39</v>
      </c>
      <c r="B55" s="33" t="s">
        <v>40</v>
      </c>
      <c r="C55" s="33"/>
      <c r="D55" s="397"/>
      <c r="E55" s="378"/>
      <c r="F55" s="100" t="s">
        <v>113</v>
      </c>
      <c r="G55" s="387"/>
      <c r="H55" s="36"/>
      <c r="I55" s="34"/>
      <c r="J55" s="34"/>
      <c r="K55" s="34"/>
      <c r="L55" s="34"/>
      <c r="M55" s="34"/>
      <c r="N55" s="35">
        <f t="shared" si="13"/>
        <v>0</v>
      </c>
      <c r="O55" s="36"/>
      <c r="P55" s="34"/>
      <c r="Q55" s="34"/>
      <c r="R55" s="34"/>
      <c r="S55" s="31">
        <f t="shared" si="9"/>
        <v>0</v>
      </c>
      <c r="T55" s="50" t="e">
        <f t="shared" si="12"/>
        <v>#DIV/0!</v>
      </c>
      <c r="U55" s="210"/>
    </row>
    <row r="56" spans="1:21" ht="23.1" customHeight="1">
      <c r="A56" s="168" t="s">
        <v>41</v>
      </c>
      <c r="B56" s="33" t="s">
        <v>42</v>
      </c>
      <c r="C56" s="33"/>
      <c r="D56" s="397"/>
      <c r="E56" s="378"/>
      <c r="F56" s="100" t="s">
        <v>113</v>
      </c>
      <c r="G56" s="387"/>
      <c r="H56" s="36"/>
      <c r="I56" s="34"/>
      <c r="J56" s="34"/>
      <c r="K56" s="34"/>
      <c r="L56" s="34"/>
      <c r="M56" s="34"/>
      <c r="N56" s="35">
        <f t="shared" si="13"/>
        <v>0</v>
      </c>
      <c r="O56" s="36"/>
      <c r="P56" s="34"/>
      <c r="Q56" s="34"/>
      <c r="R56" s="34"/>
      <c r="S56" s="31">
        <f t="shared" si="9"/>
        <v>0</v>
      </c>
      <c r="T56" s="50" t="e">
        <f t="shared" si="12"/>
        <v>#DIV/0!</v>
      </c>
      <c r="U56" s="210"/>
    </row>
    <row r="57" spans="1:21" ht="23.1" customHeight="1">
      <c r="A57" s="168" t="s">
        <v>70</v>
      </c>
      <c r="B57" s="53" t="s">
        <v>71</v>
      </c>
      <c r="C57" s="53"/>
      <c r="D57" s="397"/>
      <c r="E57" s="378"/>
      <c r="F57" s="100" t="s">
        <v>230</v>
      </c>
      <c r="G57" s="387"/>
      <c r="H57" s="36"/>
      <c r="I57" s="34"/>
      <c r="J57" s="34"/>
      <c r="K57" s="34"/>
      <c r="L57" s="34"/>
      <c r="M57" s="34"/>
      <c r="N57" s="35">
        <f t="shared" si="13"/>
        <v>0</v>
      </c>
      <c r="O57" s="36"/>
      <c r="P57" s="34"/>
      <c r="Q57" s="34"/>
      <c r="R57" s="34"/>
      <c r="S57" s="31">
        <f t="shared" si="9"/>
        <v>0</v>
      </c>
      <c r="T57" s="50" t="e">
        <f t="shared" si="12"/>
        <v>#DIV/0!</v>
      </c>
      <c r="U57" s="210"/>
    </row>
    <row r="58" spans="1:21" ht="23.1" customHeight="1">
      <c r="A58" s="168" t="s">
        <v>72</v>
      </c>
      <c r="B58" s="53" t="s">
        <v>73</v>
      </c>
      <c r="C58" s="53"/>
      <c r="D58" s="397"/>
      <c r="E58" s="378"/>
      <c r="F58" s="100" t="s">
        <v>230</v>
      </c>
      <c r="G58" s="387"/>
      <c r="H58" s="36"/>
      <c r="I58" s="34"/>
      <c r="J58" s="34"/>
      <c r="K58" s="34"/>
      <c r="L58" s="34"/>
      <c r="M58" s="34"/>
      <c r="N58" s="35">
        <f t="shared" si="13"/>
        <v>0</v>
      </c>
      <c r="O58" s="36"/>
      <c r="P58" s="34"/>
      <c r="Q58" s="34"/>
      <c r="R58" s="34"/>
      <c r="S58" s="31">
        <f t="shared" si="9"/>
        <v>0</v>
      </c>
      <c r="T58" s="50" t="e">
        <f t="shared" si="12"/>
        <v>#DIV/0!</v>
      </c>
      <c r="U58" s="210"/>
    </row>
    <row r="59" spans="1:21" ht="23.1" customHeight="1">
      <c r="A59" s="168" t="s">
        <v>78</v>
      </c>
      <c r="B59" s="373" t="s">
        <v>79</v>
      </c>
      <c r="C59" s="373"/>
      <c r="D59" s="398" t="s">
        <v>331</v>
      </c>
      <c r="E59" s="383">
        <v>260</v>
      </c>
      <c r="F59" s="374" t="s">
        <v>230</v>
      </c>
      <c r="G59" s="393">
        <v>109</v>
      </c>
      <c r="H59" s="36"/>
      <c r="I59" s="34"/>
      <c r="J59" s="34"/>
      <c r="K59" s="34"/>
      <c r="L59" s="34"/>
      <c r="M59" s="34"/>
      <c r="N59" s="35">
        <f t="shared" si="13"/>
        <v>0</v>
      </c>
      <c r="O59" s="36"/>
      <c r="P59" s="34"/>
      <c r="Q59" s="34"/>
      <c r="R59" s="34">
        <f>1280+652</f>
        <v>1932</v>
      </c>
      <c r="S59" s="31">
        <f t="shared" si="9"/>
        <v>1932</v>
      </c>
      <c r="T59" s="50">
        <f t="shared" si="12"/>
        <v>7.430769230769231</v>
      </c>
      <c r="U59" s="210"/>
    </row>
    <row r="60" spans="1:21" ht="23.1" customHeight="1">
      <c r="A60" s="168" t="s">
        <v>80</v>
      </c>
      <c r="B60" s="373" t="s">
        <v>81</v>
      </c>
      <c r="C60" s="373"/>
      <c r="D60" s="398" t="s">
        <v>332</v>
      </c>
      <c r="E60" s="383">
        <v>95</v>
      </c>
      <c r="F60" s="374" t="s">
        <v>230</v>
      </c>
      <c r="G60" s="393">
        <v>82</v>
      </c>
      <c r="H60" s="36"/>
      <c r="I60" s="34"/>
      <c r="J60" s="34"/>
      <c r="K60" s="34"/>
      <c r="L60" s="34">
        <f>3726</f>
        <v>3726</v>
      </c>
      <c r="M60" s="34"/>
      <c r="N60" s="35">
        <f t="shared" si="13"/>
        <v>3726</v>
      </c>
      <c r="O60" s="36"/>
      <c r="P60" s="34"/>
      <c r="Q60" s="34"/>
      <c r="R60" s="34"/>
      <c r="S60" s="31">
        <f t="shared" si="9"/>
        <v>3726</v>
      </c>
      <c r="T60" s="50">
        <f t="shared" si="12"/>
        <v>39.221052631578949</v>
      </c>
      <c r="U60" s="210"/>
    </row>
    <row r="61" spans="1:21" ht="23.1" customHeight="1">
      <c r="A61" s="178">
        <v>73</v>
      </c>
      <c r="B61" s="373" t="s">
        <v>222</v>
      </c>
      <c r="C61" s="373"/>
      <c r="D61" s="398" t="s">
        <v>331</v>
      </c>
      <c r="E61" s="383">
        <v>2470</v>
      </c>
      <c r="F61" s="374" t="s">
        <v>112</v>
      </c>
      <c r="G61" s="393">
        <v>297</v>
      </c>
      <c r="H61" s="29"/>
      <c r="I61" s="30"/>
      <c r="J61" s="30"/>
      <c r="K61" s="30"/>
      <c r="L61" s="30">
        <f>10025+44000</f>
        <v>54025</v>
      </c>
      <c r="M61" s="30"/>
      <c r="N61" s="35">
        <f>SUM(H61:M61)</f>
        <v>54025</v>
      </c>
      <c r="O61" s="29"/>
      <c r="P61" s="30"/>
      <c r="Q61" s="30"/>
      <c r="R61" s="34">
        <f>19889+12044+1061</f>
        <v>32994</v>
      </c>
      <c r="S61" s="31">
        <f t="shared" si="9"/>
        <v>87019</v>
      </c>
      <c r="T61" s="50">
        <f t="shared" si="12"/>
        <v>35.230364372469637</v>
      </c>
      <c r="U61" s="210"/>
    </row>
    <row r="62" spans="1:21" ht="23.1" customHeight="1" thickBot="1">
      <c r="A62" s="168" t="s">
        <v>85</v>
      </c>
      <c r="B62" s="373" t="s">
        <v>223</v>
      </c>
      <c r="C62" s="375"/>
      <c r="D62" s="399" t="s">
        <v>332</v>
      </c>
      <c r="E62" s="384">
        <v>69</v>
      </c>
      <c r="F62" s="376" t="s">
        <v>112</v>
      </c>
      <c r="G62" s="394">
        <v>53</v>
      </c>
      <c r="H62" s="36"/>
      <c r="I62" s="34"/>
      <c r="J62" s="34"/>
      <c r="K62" s="34"/>
      <c r="L62" s="34"/>
      <c r="M62" s="34"/>
      <c r="N62" s="35">
        <f t="shared" si="13"/>
        <v>0</v>
      </c>
      <c r="O62" s="40"/>
      <c r="P62" s="38"/>
      <c r="Q62" s="38"/>
      <c r="R62" s="38">
        <f>6207+4200</f>
        <v>10407</v>
      </c>
      <c r="S62" s="162">
        <f t="shared" si="9"/>
        <v>10407</v>
      </c>
      <c r="T62" s="58">
        <f t="shared" si="12"/>
        <v>150.82608695652175</v>
      </c>
      <c r="U62" s="211"/>
    </row>
    <row r="63" spans="1:21" ht="23.1" customHeight="1" thickTop="1" thickBot="1">
      <c r="A63" s="433" t="s">
        <v>105</v>
      </c>
      <c r="B63" s="432"/>
      <c r="C63" s="109"/>
      <c r="D63" s="69"/>
      <c r="E63" s="385"/>
      <c r="F63" s="103"/>
      <c r="G63" s="395"/>
      <c r="H63" s="22">
        <f t="shared" ref="H63:R63" si="14">SUM(H64:H81)</f>
        <v>189103</v>
      </c>
      <c r="I63" s="23">
        <f t="shared" si="14"/>
        <v>12500</v>
      </c>
      <c r="J63" s="23">
        <f t="shared" si="14"/>
        <v>0</v>
      </c>
      <c r="K63" s="23">
        <f t="shared" si="14"/>
        <v>45092</v>
      </c>
      <c r="L63" s="23">
        <f t="shared" si="14"/>
        <v>0</v>
      </c>
      <c r="M63" s="23">
        <f t="shared" si="14"/>
        <v>6396</v>
      </c>
      <c r="N63" s="24">
        <f t="shared" si="14"/>
        <v>253091</v>
      </c>
      <c r="O63" s="23">
        <f t="shared" si="14"/>
        <v>0</v>
      </c>
      <c r="P63" s="23">
        <f t="shared" si="14"/>
        <v>0</v>
      </c>
      <c r="Q63" s="23">
        <f t="shared" si="14"/>
        <v>95095</v>
      </c>
      <c r="R63" s="347">
        <f t="shared" si="14"/>
        <v>3004372</v>
      </c>
      <c r="S63" s="188">
        <f t="shared" si="9"/>
        <v>3257463</v>
      </c>
      <c r="T63" s="62"/>
      <c r="U63" s="214"/>
    </row>
    <row r="64" spans="1:21" ht="23.1" customHeight="1" thickTop="1">
      <c r="A64" s="168" t="s">
        <v>43</v>
      </c>
      <c r="B64" s="51" t="s">
        <v>44</v>
      </c>
      <c r="C64" s="51"/>
      <c r="D64" s="397" t="s">
        <v>233</v>
      </c>
      <c r="E64" s="378">
        <v>7104</v>
      </c>
      <c r="F64" s="100" t="s">
        <v>230</v>
      </c>
      <c r="G64" s="387">
        <v>439</v>
      </c>
      <c r="H64" s="36"/>
      <c r="I64" s="34"/>
      <c r="J64" s="34"/>
      <c r="K64" s="34">
        <v>22546</v>
      </c>
      <c r="L64" s="34"/>
      <c r="M64" s="34"/>
      <c r="N64" s="52">
        <f t="shared" ref="N64:N76" si="15">SUM(H64:M64)</f>
        <v>22546</v>
      </c>
      <c r="O64" s="36"/>
      <c r="P64" s="34"/>
      <c r="Q64" s="34"/>
      <c r="R64" s="34"/>
      <c r="S64" s="187">
        <f t="shared" si="9"/>
        <v>22546</v>
      </c>
      <c r="T64" s="50">
        <f t="shared" ref="T64:T81" si="16">S64/E64</f>
        <v>3.173704954954955</v>
      </c>
      <c r="U64" s="210"/>
    </row>
    <row r="65" spans="1:21" ht="23.1" customHeight="1">
      <c r="A65" s="168" t="s">
        <v>52</v>
      </c>
      <c r="B65" s="33" t="s">
        <v>53</v>
      </c>
      <c r="C65" s="33"/>
      <c r="D65" s="397"/>
      <c r="E65" s="378"/>
      <c r="F65" s="100" t="s">
        <v>230</v>
      </c>
      <c r="G65" s="387"/>
      <c r="H65" s="36"/>
      <c r="I65" s="34"/>
      <c r="J65" s="34"/>
      <c r="K65" s="34"/>
      <c r="L65" s="34"/>
      <c r="M65" s="34"/>
      <c r="N65" s="52">
        <f t="shared" si="15"/>
        <v>0</v>
      </c>
      <c r="O65" s="36"/>
      <c r="P65" s="34"/>
      <c r="Q65" s="34"/>
      <c r="R65" s="34"/>
      <c r="S65" s="31">
        <f t="shared" si="9"/>
        <v>0</v>
      </c>
      <c r="T65" s="50" t="e">
        <f t="shared" si="16"/>
        <v>#DIV/0!</v>
      </c>
      <c r="U65" s="210"/>
    </row>
    <row r="66" spans="1:21" ht="23.1" customHeight="1">
      <c r="A66" s="168" t="s">
        <v>54</v>
      </c>
      <c r="B66" s="33" t="s">
        <v>55</v>
      </c>
      <c r="C66" s="33"/>
      <c r="D66" s="397" t="s">
        <v>332</v>
      </c>
      <c r="E66" s="378">
        <v>8116</v>
      </c>
      <c r="F66" s="100" t="s">
        <v>109</v>
      </c>
      <c r="G66" s="387">
        <v>176</v>
      </c>
      <c r="H66" s="36"/>
      <c r="I66" s="34"/>
      <c r="J66" s="34"/>
      <c r="K66" s="34"/>
      <c r="L66" s="34"/>
      <c r="M66" s="34"/>
      <c r="N66" s="52">
        <f t="shared" si="15"/>
        <v>0</v>
      </c>
      <c r="O66" s="36"/>
      <c r="P66" s="34"/>
      <c r="Q66" s="34"/>
      <c r="R66" s="34">
        <f>40000+1281922+115027-236647</f>
        <v>1200302</v>
      </c>
      <c r="S66" s="31">
        <f t="shared" si="9"/>
        <v>1200302</v>
      </c>
      <c r="T66" s="50">
        <f t="shared" si="16"/>
        <v>147.89329719073436</v>
      </c>
      <c r="U66" s="210"/>
    </row>
    <row r="67" spans="1:21" ht="23.1" customHeight="1">
      <c r="A67" s="168" t="s">
        <v>56</v>
      </c>
      <c r="B67" s="33" t="s">
        <v>57</v>
      </c>
      <c r="C67" s="33"/>
      <c r="D67" s="397" t="s">
        <v>332</v>
      </c>
      <c r="E67" s="378">
        <v>647</v>
      </c>
      <c r="F67" s="100" t="s">
        <v>116</v>
      </c>
      <c r="G67" s="387">
        <v>2840</v>
      </c>
      <c r="H67" s="36"/>
      <c r="I67" s="34"/>
      <c r="J67" s="34"/>
      <c r="K67" s="34"/>
      <c r="L67" s="34"/>
      <c r="M67" s="34">
        <v>6396</v>
      </c>
      <c r="N67" s="52">
        <f t="shared" si="15"/>
        <v>6396</v>
      </c>
      <c r="O67" s="36"/>
      <c r="P67" s="34"/>
      <c r="Q67" s="34"/>
      <c r="R67" s="34"/>
      <c r="S67" s="31">
        <f t="shared" si="9"/>
        <v>6396</v>
      </c>
      <c r="T67" s="50">
        <f t="shared" si="16"/>
        <v>9.8856259659969083</v>
      </c>
      <c r="U67" s="210"/>
    </row>
    <row r="68" spans="1:21" ht="23.1" customHeight="1">
      <c r="A68" s="168" t="s">
        <v>58</v>
      </c>
      <c r="B68" s="70" t="s">
        <v>333</v>
      </c>
      <c r="C68" s="70"/>
      <c r="D68" s="397"/>
      <c r="E68" s="378"/>
      <c r="F68" s="100" t="s">
        <v>116</v>
      </c>
      <c r="G68" s="387"/>
      <c r="H68" s="36"/>
      <c r="I68" s="34"/>
      <c r="J68" s="34"/>
      <c r="K68" s="34"/>
      <c r="L68" s="34"/>
      <c r="M68" s="34"/>
      <c r="N68" s="52">
        <f t="shared" si="15"/>
        <v>0</v>
      </c>
      <c r="O68" s="36"/>
      <c r="P68" s="34"/>
      <c r="Q68" s="34"/>
      <c r="R68" s="34"/>
      <c r="S68" s="31">
        <f t="shared" si="9"/>
        <v>0</v>
      </c>
      <c r="T68" s="50" t="e">
        <f t="shared" si="16"/>
        <v>#DIV/0!</v>
      </c>
      <c r="U68" s="210"/>
    </row>
    <row r="69" spans="1:21" ht="23.1" customHeight="1">
      <c r="A69" s="168" t="s">
        <v>59</v>
      </c>
      <c r="B69" s="53" t="s">
        <v>60</v>
      </c>
      <c r="C69" s="53"/>
      <c r="D69" s="397"/>
      <c r="E69" s="378"/>
      <c r="F69" s="100" t="s">
        <v>113</v>
      </c>
      <c r="G69" s="387"/>
      <c r="H69" s="36"/>
      <c r="I69" s="34"/>
      <c r="J69" s="34"/>
      <c r="K69" s="34"/>
      <c r="L69" s="34"/>
      <c r="M69" s="34"/>
      <c r="N69" s="52">
        <f t="shared" si="15"/>
        <v>0</v>
      </c>
      <c r="O69" s="36"/>
      <c r="P69" s="34"/>
      <c r="Q69" s="34"/>
      <c r="R69" s="34"/>
      <c r="S69" s="31">
        <f t="shared" si="9"/>
        <v>0</v>
      </c>
      <c r="T69" s="50" t="e">
        <f t="shared" si="16"/>
        <v>#DIV/0!</v>
      </c>
      <c r="U69" s="210"/>
    </row>
    <row r="70" spans="1:21" ht="23.1" customHeight="1">
      <c r="A70" s="168" t="s">
        <v>64</v>
      </c>
      <c r="B70" s="53" t="s">
        <v>65</v>
      </c>
      <c r="C70" s="53"/>
      <c r="D70" s="397"/>
      <c r="E70" s="378"/>
      <c r="F70" s="100" t="s">
        <v>118</v>
      </c>
      <c r="G70" s="387"/>
      <c r="H70" s="36"/>
      <c r="I70" s="34"/>
      <c r="J70" s="34"/>
      <c r="K70" s="34"/>
      <c r="L70" s="34"/>
      <c r="M70" s="34"/>
      <c r="N70" s="52">
        <f t="shared" si="15"/>
        <v>0</v>
      </c>
      <c r="O70" s="36"/>
      <c r="P70" s="34"/>
      <c r="Q70" s="34"/>
      <c r="R70" s="34"/>
      <c r="S70" s="31">
        <f t="shared" si="9"/>
        <v>0</v>
      </c>
      <c r="T70" s="50" t="e">
        <f t="shared" si="16"/>
        <v>#DIV/0!</v>
      </c>
      <c r="U70" s="210"/>
    </row>
    <row r="71" spans="1:21" ht="23.1" customHeight="1">
      <c r="A71" s="168" t="s">
        <v>334</v>
      </c>
      <c r="B71" s="373" t="s">
        <v>61</v>
      </c>
      <c r="C71" s="53"/>
      <c r="D71" s="397" t="s">
        <v>233</v>
      </c>
      <c r="E71" s="378">
        <v>58324</v>
      </c>
      <c r="F71" s="100" t="s">
        <v>109</v>
      </c>
      <c r="G71" s="387">
        <v>28099</v>
      </c>
      <c r="H71" s="36"/>
      <c r="I71" s="34"/>
      <c r="J71" s="34"/>
      <c r="K71" s="34"/>
      <c r="L71" s="34"/>
      <c r="M71" s="34"/>
      <c r="N71" s="52">
        <f>SUM(H71:M71)</f>
        <v>0</v>
      </c>
      <c r="O71" s="36"/>
      <c r="P71" s="34"/>
      <c r="Q71" s="34"/>
      <c r="R71" s="34">
        <f>57237+339084</f>
        <v>396321</v>
      </c>
      <c r="S71" s="31">
        <f t="shared" si="9"/>
        <v>396321</v>
      </c>
      <c r="T71" s="50">
        <f t="shared" si="16"/>
        <v>6.7951615115561346</v>
      </c>
      <c r="U71" s="210"/>
    </row>
    <row r="72" spans="1:21" ht="23.1" customHeight="1">
      <c r="A72" s="173">
        <v>71</v>
      </c>
      <c r="B72" s="53" t="s">
        <v>84</v>
      </c>
      <c r="C72" s="53"/>
      <c r="D72" s="397" t="s">
        <v>233</v>
      </c>
      <c r="E72" s="378">
        <v>1174</v>
      </c>
      <c r="F72" s="100" t="s">
        <v>230</v>
      </c>
      <c r="G72" s="387">
        <v>247</v>
      </c>
      <c r="H72" s="71"/>
      <c r="I72" s="72"/>
      <c r="J72" s="72"/>
      <c r="K72" s="72">
        <v>22546</v>
      </c>
      <c r="L72" s="72"/>
      <c r="M72" s="72"/>
      <c r="N72" s="73">
        <f>SUM(H72:M72)</f>
        <v>22546</v>
      </c>
      <c r="O72" s="71"/>
      <c r="P72" s="72"/>
      <c r="Q72" s="72">
        <f>55612+17078+18755+3650</f>
        <v>95095</v>
      </c>
      <c r="R72" s="72"/>
      <c r="S72" s="31">
        <f>N72+O72+P72+R72</f>
        <v>22546</v>
      </c>
      <c r="T72" s="74">
        <f t="shared" si="16"/>
        <v>19.204429301533221</v>
      </c>
      <c r="U72" s="216"/>
    </row>
    <row r="73" spans="1:21" ht="23.1" customHeight="1">
      <c r="A73" s="178">
        <v>72</v>
      </c>
      <c r="B73" s="53" t="s">
        <v>221</v>
      </c>
      <c r="C73" s="53"/>
      <c r="D73" s="397"/>
      <c r="E73" s="378"/>
      <c r="F73" s="100" t="s">
        <v>112</v>
      </c>
      <c r="G73" s="387"/>
      <c r="H73" s="36"/>
      <c r="I73" s="34"/>
      <c r="J73" s="34"/>
      <c r="K73" s="34"/>
      <c r="L73" s="34"/>
      <c r="M73" s="34"/>
      <c r="N73" s="52">
        <f>SUM(H73:M73)</f>
        <v>0</v>
      </c>
      <c r="O73" s="36"/>
      <c r="P73" s="34"/>
      <c r="Q73" s="34"/>
      <c r="R73" s="34"/>
      <c r="S73" s="31">
        <f>N73+O73+P73+R73</f>
        <v>0</v>
      </c>
      <c r="T73" s="50" t="e">
        <f t="shared" si="16"/>
        <v>#DIV/0!</v>
      </c>
      <c r="U73" s="210"/>
    </row>
    <row r="74" spans="1:21" ht="23.1" customHeight="1">
      <c r="A74" s="168" t="s">
        <v>86</v>
      </c>
      <c r="B74" s="53" t="s">
        <v>87</v>
      </c>
      <c r="C74" s="53"/>
      <c r="D74" s="397" t="s">
        <v>233</v>
      </c>
      <c r="E74" s="378">
        <v>5</v>
      </c>
      <c r="F74" s="100" t="s">
        <v>117</v>
      </c>
      <c r="G74" s="387">
        <v>5</v>
      </c>
      <c r="H74" s="36">
        <v>189103</v>
      </c>
      <c r="I74" s="34"/>
      <c r="J74" s="34"/>
      <c r="K74" s="34"/>
      <c r="L74" s="34"/>
      <c r="M74" s="34"/>
      <c r="N74" s="52">
        <f t="shared" si="15"/>
        <v>189103</v>
      </c>
      <c r="O74" s="36"/>
      <c r="P74" s="34"/>
      <c r="Q74" s="34"/>
      <c r="R74" s="34">
        <f>368052+213227-4850</f>
        <v>576429</v>
      </c>
      <c r="S74" s="31">
        <f t="shared" ref="S74:S81" si="17">N74+O74+P74+R74</f>
        <v>765532</v>
      </c>
      <c r="T74" s="50">
        <f t="shared" si="16"/>
        <v>153106.4</v>
      </c>
      <c r="U74" s="210"/>
    </row>
    <row r="75" spans="1:21" ht="23.1" customHeight="1">
      <c r="A75" s="168" t="s">
        <v>88</v>
      </c>
      <c r="B75" s="70" t="s">
        <v>89</v>
      </c>
      <c r="C75" s="70"/>
      <c r="D75" s="397" t="s">
        <v>332</v>
      </c>
      <c r="E75" s="378">
        <v>1344</v>
      </c>
      <c r="F75" s="100" t="s">
        <v>111</v>
      </c>
      <c r="G75" s="387">
        <v>809</v>
      </c>
      <c r="H75" s="36"/>
      <c r="I75" s="34"/>
      <c r="J75" s="34"/>
      <c r="K75" s="34"/>
      <c r="L75" s="34"/>
      <c r="M75" s="34"/>
      <c r="N75" s="52">
        <f t="shared" si="15"/>
        <v>0</v>
      </c>
      <c r="O75" s="36"/>
      <c r="P75" s="34"/>
      <c r="Q75" s="34"/>
      <c r="R75" s="34">
        <f>304230+175557+210000+42216-32944-10407+52668</f>
        <v>741320</v>
      </c>
      <c r="S75" s="31">
        <f t="shared" si="17"/>
        <v>741320</v>
      </c>
      <c r="T75" s="50">
        <f t="shared" si="16"/>
        <v>551.57738095238096</v>
      </c>
      <c r="U75" s="210"/>
    </row>
    <row r="76" spans="1:21" ht="23.1" customHeight="1">
      <c r="A76" s="168" t="s">
        <v>90</v>
      </c>
      <c r="B76" s="33" t="s">
        <v>91</v>
      </c>
      <c r="C76" s="33"/>
      <c r="D76" s="397" t="s">
        <v>332</v>
      </c>
      <c r="E76" s="378">
        <v>800</v>
      </c>
      <c r="F76" s="100" t="s">
        <v>109</v>
      </c>
      <c r="G76" s="387">
        <v>75</v>
      </c>
      <c r="H76" s="36"/>
      <c r="I76" s="34"/>
      <c r="J76" s="34"/>
      <c r="K76" s="34"/>
      <c r="L76" s="34"/>
      <c r="M76" s="34"/>
      <c r="N76" s="52">
        <f t="shared" si="15"/>
        <v>0</v>
      </c>
      <c r="O76" s="36"/>
      <c r="P76" s="34"/>
      <c r="Q76" s="34"/>
      <c r="R76" s="405">
        <v>90000</v>
      </c>
      <c r="S76" s="31">
        <f t="shared" si="17"/>
        <v>90000</v>
      </c>
      <c r="T76" s="50">
        <f t="shared" si="16"/>
        <v>112.5</v>
      </c>
      <c r="U76" s="210" t="s">
        <v>335</v>
      </c>
    </row>
    <row r="77" spans="1:21" ht="23.1" customHeight="1">
      <c r="A77" s="167" t="s">
        <v>92</v>
      </c>
      <c r="B77" s="46" t="s">
        <v>93</v>
      </c>
      <c r="C77" s="46"/>
      <c r="D77" s="397"/>
      <c r="E77" s="378"/>
      <c r="F77" s="100" t="s">
        <v>180</v>
      </c>
      <c r="G77" s="387"/>
      <c r="H77" s="36"/>
      <c r="I77" s="34"/>
      <c r="J77" s="34"/>
      <c r="K77" s="34"/>
      <c r="L77" s="34"/>
      <c r="M77" s="34"/>
      <c r="N77" s="52">
        <f>SUM(H77:M77)</f>
        <v>0</v>
      </c>
      <c r="O77" s="36"/>
      <c r="P77" s="34"/>
      <c r="Q77" s="34"/>
      <c r="R77" s="34"/>
      <c r="S77" s="31">
        <f t="shared" si="17"/>
        <v>0</v>
      </c>
      <c r="T77" s="50" t="e">
        <f t="shared" si="16"/>
        <v>#DIV/0!</v>
      </c>
      <c r="U77" s="210"/>
    </row>
    <row r="78" spans="1:21" ht="23.1" customHeight="1">
      <c r="A78" s="179">
        <v>900</v>
      </c>
      <c r="B78" s="75"/>
      <c r="C78" s="75"/>
      <c r="D78" s="397"/>
      <c r="E78" s="378"/>
      <c r="F78" s="104"/>
      <c r="G78" s="387"/>
      <c r="H78" s="36"/>
      <c r="I78" s="34"/>
      <c r="J78" s="34"/>
      <c r="K78" s="34"/>
      <c r="L78" s="34"/>
      <c r="M78" s="34"/>
      <c r="N78" s="52">
        <f>SUM(H78:M78)</f>
        <v>0</v>
      </c>
      <c r="O78" s="36"/>
      <c r="P78" s="34"/>
      <c r="Q78" s="34"/>
      <c r="R78" s="34"/>
      <c r="S78" s="31">
        <f t="shared" si="17"/>
        <v>0</v>
      </c>
      <c r="T78" s="50" t="e">
        <f>S78/E78</f>
        <v>#DIV/0!</v>
      </c>
      <c r="U78" s="210"/>
    </row>
    <row r="79" spans="1:21" ht="23.1" customHeight="1">
      <c r="A79" s="179">
        <v>900</v>
      </c>
      <c r="B79" s="377" t="s">
        <v>306</v>
      </c>
      <c r="C79" s="75"/>
      <c r="D79" s="397" t="s">
        <v>332</v>
      </c>
      <c r="E79" s="378">
        <v>5</v>
      </c>
      <c r="F79" s="104"/>
      <c r="G79" s="387">
        <v>5</v>
      </c>
      <c r="H79" s="36"/>
      <c r="I79" s="34">
        <v>12500</v>
      </c>
      <c r="J79" s="34"/>
      <c r="K79" s="34"/>
      <c r="L79" s="34"/>
      <c r="M79" s="34"/>
      <c r="N79" s="52">
        <f>SUM(H79:M79)</f>
        <v>12500</v>
      </c>
      <c r="O79" s="36"/>
      <c r="P79" s="34"/>
      <c r="Q79" s="34"/>
      <c r="R79" s="34"/>
      <c r="S79" s="31">
        <f t="shared" si="17"/>
        <v>12500</v>
      </c>
      <c r="T79" s="50">
        <f>S79/E79</f>
        <v>2500</v>
      </c>
      <c r="U79" s="210"/>
    </row>
    <row r="80" spans="1:21" ht="23.1" customHeight="1">
      <c r="A80" s="179">
        <v>900</v>
      </c>
      <c r="B80" s="75" t="s">
        <v>96</v>
      </c>
      <c r="C80" s="75"/>
      <c r="D80" s="397"/>
      <c r="E80" s="378"/>
      <c r="F80" s="104"/>
      <c r="G80" s="387"/>
      <c r="H80" s="36"/>
      <c r="I80" s="34"/>
      <c r="J80" s="34"/>
      <c r="K80" s="34"/>
      <c r="L80" s="34"/>
      <c r="M80" s="34"/>
      <c r="N80" s="52">
        <f>SUM(H80:M80)</f>
        <v>0</v>
      </c>
      <c r="O80" s="36"/>
      <c r="P80" s="34"/>
      <c r="Q80" s="34"/>
      <c r="R80" s="34"/>
      <c r="S80" s="31">
        <f t="shared" si="17"/>
        <v>0</v>
      </c>
      <c r="T80" s="50" t="e">
        <f>S80/E80</f>
        <v>#DIV/0!</v>
      </c>
      <c r="U80" s="210"/>
    </row>
    <row r="81" spans="1:21" ht="23.1" customHeight="1" thickBot="1">
      <c r="A81" s="180">
        <v>900</v>
      </c>
      <c r="B81" s="76" t="s">
        <v>96</v>
      </c>
      <c r="C81" s="76"/>
      <c r="D81" s="400"/>
      <c r="E81" s="386"/>
      <c r="F81" s="105"/>
      <c r="G81" s="396"/>
      <c r="H81" s="77"/>
      <c r="I81" s="78"/>
      <c r="J81" s="78"/>
      <c r="K81" s="78"/>
      <c r="L81" s="78"/>
      <c r="M81" s="78"/>
      <c r="N81" s="79">
        <f>SUM(H81:M81)</f>
        <v>0</v>
      </c>
      <c r="O81" s="77"/>
      <c r="P81" s="78"/>
      <c r="Q81" s="78"/>
      <c r="R81" s="348"/>
      <c r="S81" s="80">
        <f t="shared" si="17"/>
        <v>0</v>
      </c>
      <c r="T81" s="81" t="e">
        <f t="shared" si="16"/>
        <v>#DIV/0!</v>
      </c>
      <c r="U81" s="217"/>
    </row>
    <row r="82" spans="1:21" ht="23.1" customHeight="1" thickTop="1" thickBot="1">
      <c r="A82" s="427" t="s">
        <v>158</v>
      </c>
      <c r="B82" s="428"/>
      <c r="C82" s="428"/>
      <c r="D82" s="428"/>
      <c r="E82" s="428"/>
      <c r="F82" s="428"/>
      <c r="G82" s="429"/>
      <c r="H82" s="82">
        <f t="shared" ref="H82:S82" si="18">H63+H46+H40+H38+H24+H11+H7</f>
        <v>1032676</v>
      </c>
      <c r="I82" s="82">
        <f t="shared" si="18"/>
        <v>398463</v>
      </c>
      <c r="J82" s="82">
        <f t="shared" si="18"/>
        <v>585897</v>
      </c>
      <c r="K82" s="82">
        <f t="shared" si="18"/>
        <v>45092</v>
      </c>
      <c r="L82" s="82">
        <f t="shared" si="18"/>
        <v>270649</v>
      </c>
      <c r="M82" s="82">
        <f t="shared" si="18"/>
        <v>6396</v>
      </c>
      <c r="N82" s="82">
        <f t="shared" si="18"/>
        <v>2339173</v>
      </c>
      <c r="O82" s="82">
        <f t="shared" si="18"/>
        <v>481895</v>
      </c>
      <c r="P82" s="82">
        <f t="shared" si="18"/>
        <v>1398860</v>
      </c>
      <c r="Q82" s="82">
        <f t="shared" si="18"/>
        <v>243661</v>
      </c>
      <c r="R82" s="349">
        <f t="shared" si="18"/>
        <v>7738458</v>
      </c>
      <c r="S82" s="82">
        <f t="shared" si="18"/>
        <v>11958386</v>
      </c>
      <c r="T82" s="83"/>
      <c r="U82" s="84"/>
    </row>
    <row r="83" spans="1:21" ht="15.75">
      <c r="A83" s="181"/>
      <c r="B83" s="85"/>
      <c r="C83" s="85"/>
      <c r="D83" s="16"/>
      <c r="E83" s="16"/>
      <c r="F83" s="17"/>
      <c r="G83" s="86"/>
      <c r="H83" s="87"/>
      <c r="I83" s="87"/>
      <c r="J83" s="87"/>
      <c r="K83" s="87"/>
      <c r="L83" s="87"/>
      <c r="M83" s="87"/>
      <c r="N83" s="12"/>
      <c r="O83" s="12"/>
      <c r="P83" s="12"/>
      <c r="Q83" s="12"/>
      <c r="R83" s="12"/>
      <c r="U83" s="88"/>
    </row>
    <row r="84" spans="1:21" hidden="1">
      <c r="A84" s="182"/>
      <c r="B84" s="85"/>
      <c r="C84" s="85"/>
      <c r="D84" s="16"/>
      <c r="E84" s="16"/>
      <c r="F84" s="17"/>
      <c r="G84" s="89">
        <v>0.18</v>
      </c>
      <c r="H84" s="87">
        <f>H82*0.18</f>
        <v>185881.68</v>
      </c>
      <c r="I84" s="87"/>
      <c r="J84" s="87"/>
      <c r="K84" s="87"/>
      <c r="L84" s="87"/>
      <c r="M84" s="87"/>
      <c r="N84" s="12"/>
      <c r="O84" s="12"/>
      <c r="P84" s="12"/>
      <c r="Q84" s="12"/>
      <c r="R84" s="12"/>
      <c r="U84" s="88"/>
    </row>
    <row r="85" spans="1:21" hidden="1">
      <c r="A85" s="182"/>
      <c r="B85" s="85"/>
      <c r="C85" s="85"/>
      <c r="D85" s="16"/>
      <c r="E85" s="16"/>
      <c r="F85" s="17"/>
      <c r="G85" s="89">
        <v>0.03</v>
      </c>
      <c r="H85" s="87">
        <f>H82*0.03</f>
        <v>30980.28</v>
      </c>
      <c r="I85" s="87"/>
      <c r="J85" s="87"/>
      <c r="K85" s="87"/>
      <c r="L85" s="87"/>
      <c r="M85" s="87"/>
      <c r="N85" s="12"/>
      <c r="O85" s="12"/>
      <c r="P85" s="12"/>
      <c r="Q85" s="12"/>
      <c r="R85" s="12"/>
      <c r="U85" s="88"/>
    </row>
    <row r="86" spans="1:21">
      <c r="A86" s="182"/>
      <c r="B86" s="85"/>
      <c r="C86" s="85"/>
      <c r="D86" s="16"/>
      <c r="E86" s="16"/>
      <c r="F86" s="17"/>
      <c r="G86" s="86"/>
      <c r="H86" s="87"/>
      <c r="I86" s="87"/>
      <c r="J86" s="87"/>
      <c r="K86" s="87"/>
      <c r="L86" s="87"/>
      <c r="M86" s="87"/>
      <c r="N86" s="12"/>
      <c r="O86" s="12"/>
      <c r="P86" s="12"/>
      <c r="Q86" s="12"/>
      <c r="R86" s="12"/>
      <c r="U86" s="88"/>
    </row>
    <row r="87" spans="1:21">
      <c r="A87" s="182"/>
      <c r="B87" s="85"/>
      <c r="C87" s="85"/>
      <c r="D87" s="16"/>
      <c r="E87" s="16"/>
      <c r="F87" s="17"/>
      <c r="G87" s="86"/>
      <c r="H87" s="87"/>
      <c r="I87" s="87"/>
      <c r="J87" s="87"/>
      <c r="K87" s="87"/>
      <c r="L87" s="87"/>
      <c r="M87" s="87"/>
      <c r="N87" s="12"/>
      <c r="O87" s="12"/>
      <c r="P87" s="12"/>
      <c r="Q87" s="12"/>
      <c r="R87" s="12"/>
      <c r="U87" s="88"/>
    </row>
    <row r="88" spans="1:21" ht="15.75">
      <c r="A88" s="183"/>
      <c r="B88" s="15"/>
      <c r="C88" s="15"/>
      <c r="D88" s="90"/>
      <c r="E88" s="86"/>
      <c r="F88" s="17"/>
      <c r="G88" s="86"/>
      <c r="H88" s="87"/>
      <c r="I88" s="87"/>
      <c r="J88" s="87"/>
      <c r="K88" s="87"/>
      <c r="L88" s="87"/>
      <c r="M88" s="87"/>
      <c r="N88" s="12"/>
      <c r="O88" s="12"/>
      <c r="P88" s="12"/>
      <c r="Q88" s="12"/>
      <c r="R88" s="12"/>
      <c r="U88" s="88"/>
    </row>
    <row r="89" spans="1:21">
      <c r="A89" s="184"/>
      <c r="B89" s="15"/>
      <c r="C89" s="15"/>
      <c r="D89" s="86"/>
      <c r="E89" s="86"/>
      <c r="F89" s="17"/>
      <c r="G89" s="86"/>
      <c r="H89" s="87"/>
      <c r="I89" s="87"/>
      <c r="J89" s="87"/>
      <c r="K89" s="87"/>
      <c r="L89" s="87"/>
      <c r="M89" s="87"/>
      <c r="N89" s="12"/>
      <c r="O89" s="12"/>
      <c r="P89" s="12"/>
      <c r="Q89" s="12"/>
      <c r="R89" s="12"/>
      <c r="U89" s="88"/>
    </row>
    <row r="90" spans="1:21">
      <c r="A90" s="182"/>
      <c r="B90" s="76"/>
      <c r="C90" s="76"/>
      <c r="D90" s="86"/>
      <c r="E90" s="86"/>
      <c r="F90" s="17"/>
      <c r="G90" s="86"/>
      <c r="H90" s="87"/>
      <c r="I90" s="87"/>
      <c r="J90" s="87"/>
      <c r="K90" s="87"/>
      <c r="L90" s="87"/>
      <c r="M90" s="87"/>
      <c r="N90" s="12"/>
      <c r="O90" s="12"/>
      <c r="P90" s="12"/>
      <c r="Q90" s="12"/>
      <c r="R90" s="12"/>
      <c r="U90" s="88"/>
    </row>
    <row r="91" spans="1:21">
      <c r="A91" s="182"/>
      <c r="B91" s="76"/>
      <c r="C91" s="76"/>
      <c r="D91" s="86"/>
      <c r="E91" s="86"/>
      <c r="F91" s="17"/>
      <c r="G91" s="86"/>
      <c r="H91" s="87"/>
      <c r="I91" s="87"/>
      <c r="J91" s="87"/>
      <c r="K91" s="87"/>
      <c r="L91" s="87"/>
      <c r="M91" s="87"/>
      <c r="N91" s="12"/>
      <c r="O91" s="12"/>
      <c r="P91" s="12"/>
      <c r="Q91" s="12"/>
      <c r="R91" s="12"/>
      <c r="U91" s="88"/>
    </row>
    <row r="92" spans="1:21">
      <c r="A92" s="182"/>
      <c r="B92" s="85"/>
      <c r="C92" s="85"/>
      <c r="D92" s="86"/>
      <c r="E92" s="86"/>
      <c r="F92" s="17"/>
      <c r="G92" s="86"/>
      <c r="H92" s="87"/>
      <c r="I92" s="87"/>
      <c r="J92" s="87"/>
      <c r="K92" s="87"/>
      <c r="L92" s="87"/>
      <c r="M92" s="87"/>
      <c r="N92" s="12"/>
      <c r="O92" s="12"/>
      <c r="P92" s="12"/>
      <c r="Q92" s="12"/>
      <c r="R92" s="12"/>
      <c r="U92" s="88"/>
    </row>
    <row r="93" spans="1:21">
      <c r="A93" s="182"/>
      <c r="B93" s="85"/>
      <c r="C93" s="85"/>
      <c r="D93" s="86"/>
      <c r="E93" s="86"/>
      <c r="F93" s="17"/>
      <c r="G93" s="86"/>
      <c r="H93" s="87"/>
      <c r="I93" s="87"/>
      <c r="J93" s="87"/>
      <c r="K93" s="87"/>
      <c r="L93" s="87"/>
      <c r="M93" s="87"/>
      <c r="N93" s="12"/>
      <c r="O93" s="12"/>
      <c r="P93" s="12"/>
      <c r="Q93" s="12"/>
      <c r="R93" s="12"/>
      <c r="U93" s="88"/>
    </row>
    <row r="94" spans="1:21">
      <c r="A94" s="182"/>
      <c r="B94" s="85"/>
      <c r="C94" s="85"/>
      <c r="D94" s="86"/>
      <c r="E94" s="86"/>
      <c r="F94" s="17"/>
      <c r="G94" s="86"/>
      <c r="H94" s="87"/>
      <c r="I94" s="87"/>
      <c r="J94" s="87"/>
      <c r="K94" s="87"/>
      <c r="L94" s="87"/>
      <c r="M94" s="87"/>
      <c r="N94" s="12"/>
      <c r="O94" s="12"/>
      <c r="P94" s="12"/>
      <c r="Q94" s="12"/>
      <c r="R94" s="12"/>
      <c r="U94" s="88"/>
    </row>
    <row r="95" spans="1:21">
      <c r="A95" s="182"/>
      <c r="B95" s="85"/>
      <c r="C95" s="85"/>
      <c r="D95" s="86"/>
      <c r="E95" s="86"/>
      <c r="F95" s="17"/>
      <c r="G95" s="86"/>
      <c r="H95" s="87"/>
      <c r="I95" s="87"/>
      <c r="J95" s="87"/>
      <c r="K95" s="87"/>
      <c r="L95" s="87"/>
      <c r="M95" s="87"/>
      <c r="N95" s="12"/>
      <c r="O95" s="12"/>
      <c r="P95" s="12"/>
      <c r="Q95" s="12"/>
      <c r="R95" s="12"/>
      <c r="U95" s="88"/>
    </row>
    <row r="96" spans="1:21">
      <c r="A96" s="182"/>
      <c r="B96" s="85"/>
      <c r="C96" s="85"/>
      <c r="D96" s="86"/>
      <c r="E96" s="86"/>
      <c r="F96" s="17"/>
      <c r="G96" s="86"/>
      <c r="H96" s="87"/>
      <c r="I96" s="87"/>
      <c r="J96" s="87"/>
      <c r="K96" s="87"/>
      <c r="L96" s="87"/>
      <c r="M96" s="87"/>
      <c r="N96" s="12"/>
      <c r="O96" s="12"/>
      <c r="P96" s="12"/>
      <c r="Q96" s="12"/>
      <c r="R96" s="12"/>
      <c r="U96" s="88"/>
    </row>
    <row r="97" spans="1:21">
      <c r="A97" s="184"/>
      <c r="B97" s="15"/>
      <c r="C97" s="15"/>
      <c r="D97" s="86"/>
      <c r="E97" s="86"/>
      <c r="F97" s="17"/>
      <c r="G97" s="86"/>
      <c r="H97" s="87"/>
      <c r="I97" s="87"/>
      <c r="J97" s="87"/>
      <c r="K97" s="87"/>
      <c r="L97" s="87"/>
      <c r="M97" s="87"/>
      <c r="N97" s="12"/>
      <c r="O97" s="12"/>
      <c r="P97" s="12"/>
      <c r="Q97" s="12"/>
      <c r="R97" s="12"/>
      <c r="U97" s="88"/>
    </row>
    <row r="98" spans="1:21" ht="15.75">
      <c r="A98" s="181"/>
      <c r="B98" s="15"/>
      <c r="C98" s="15"/>
      <c r="D98" s="90"/>
      <c r="E98" s="86"/>
      <c r="F98" s="17"/>
      <c r="G98" s="86"/>
      <c r="H98" s="91"/>
      <c r="I98" s="91"/>
      <c r="J98" s="91"/>
      <c r="K98" s="91"/>
      <c r="L98" s="91"/>
      <c r="M98" s="91"/>
      <c r="U98" s="88"/>
    </row>
    <row r="99" spans="1:21">
      <c r="A99" s="182"/>
      <c r="B99" s="92"/>
      <c r="C99" s="92"/>
      <c r="D99" s="86"/>
      <c r="E99" s="86"/>
      <c r="F99" s="17"/>
      <c r="G99" s="86"/>
      <c r="H99" s="91"/>
      <c r="I99" s="91"/>
      <c r="J99" s="91"/>
      <c r="K99" s="91"/>
      <c r="L99" s="91"/>
      <c r="M99" s="91"/>
      <c r="U99" s="88"/>
    </row>
    <row r="100" spans="1:21">
      <c r="A100" s="182"/>
      <c r="B100" s="85"/>
      <c r="C100" s="85"/>
      <c r="D100" s="86"/>
      <c r="E100" s="86"/>
      <c r="F100" s="17"/>
      <c r="G100" s="86"/>
      <c r="H100" s="91"/>
      <c r="I100" s="91"/>
      <c r="J100" s="91"/>
      <c r="K100" s="91"/>
      <c r="L100" s="91"/>
      <c r="M100" s="91"/>
      <c r="U100" s="88"/>
    </row>
    <row r="101" spans="1:21">
      <c r="A101" s="182"/>
      <c r="B101" s="76"/>
      <c r="C101" s="76"/>
      <c r="D101" s="86"/>
      <c r="E101" s="86"/>
      <c r="F101" s="17"/>
      <c r="G101" s="86"/>
      <c r="H101" s="91"/>
      <c r="I101" s="91"/>
      <c r="J101" s="91"/>
      <c r="K101" s="91"/>
      <c r="L101" s="91"/>
      <c r="M101" s="91"/>
      <c r="U101" s="88"/>
    </row>
    <row r="102" spans="1:21">
      <c r="A102" s="182"/>
      <c r="B102" s="92"/>
      <c r="C102" s="92"/>
      <c r="D102" s="86"/>
      <c r="E102" s="86"/>
      <c r="F102" s="17"/>
      <c r="G102" s="86"/>
      <c r="H102" s="91"/>
      <c r="I102" s="91"/>
      <c r="J102" s="91"/>
      <c r="K102" s="91"/>
      <c r="L102" s="91"/>
      <c r="M102" s="91"/>
      <c r="U102" s="88"/>
    </row>
    <row r="103" spans="1:21">
      <c r="A103" s="182"/>
      <c r="B103" s="76"/>
      <c r="C103" s="76"/>
      <c r="D103" s="86"/>
      <c r="E103" s="86"/>
      <c r="F103" s="17"/>
      <c r="G103" s="86"/>
      <c r="H103" s="91"/>
      <c r="I103" s="91"/>
      <c r="J103" s="91"/>
      <c r="K103" s="91"/>
      <c r="L103" s="91"/>
      <c r="M103" s="91"/>
      <c r="U103" s="88"/>
    </row>
    <row r="104" spans="1:21">
      <c r="A104" s="182"/>
      <c r="B104" s="76"/>
      <c r="C104" s="76"/>
      <c r="D104" s="86"/>
      <c r="E104" s="86"/>
      <c r="F104" s="17"/>
      <c r="G104" s="86"/>
      <c r="H104" s="91"/>
      <c r="I104" s="91"/>
      <c r="J104" s="91"/>
      <c r="K104" s="91"/>
      <c r="L104" s="91"/>
      <c r="M104" s="91"/>
      <c r="U104" s="88"/>
    </row>
    <row r="105" spans="1:21">
      <c r="A105" s="182"/>
      <c r="B105" s="93"/>
      <c r="C105" s="93"/>
      <c r="D105" s="86"/>
      <c r="E105" s="86"/>
      <c r="F105" s="17"/>
      <c r="G105" s="86"/>
      <c r="H105" s="91"/>
      <c r="I105" s="91"/>
      <c r="J105" s="91"/>
      <c r="K105" s="91"/>
      <c r="L105" s="91"/>
      <c r="M105" s="91"/>
      <c r="U105" s="88"/>
    </row>
    <row r="106" spans="1:21">
      <c r="A106" s="182"/>
      <c r="B106" s="85"/>
      <c r="C106" s="85"/>
      <c r="D106" s="86"/>
      <c r="E106" s="86"/>
      <c r="F106" s="17"/>
      <c r="G106" s="86"/>
      <c r="H106" s="91"/>
      <c r="I106" s="91"/>
      <c r="J106" s="91"/>
      <c r="K106" s="91"/>
      <c r="L106" s="91"/>
      <c r="M106" s="91"/>
      <c r="U106" s="88"/>
    </row>
    <row r="107" spans="1:21">
      <c r="A107" s="182"/>
      <c r="B107" s="76"/>
      <c r="C107" s="76"/>
      <c r="D107" s="86"/>
      <c r="E107" s="86"/>
      <c r="F107" s="17"/>
      <c r="G107" s="86"/>
      <c r="H107" s="91"/>
      <c r="I107" s="91"/>
      <c r="J107" s="91"/>
      <c r="K107" s="91"/>
      <c r="L107" s="91"/>
      <c r="M107" s="91"/>
      <c r="U107" s="88"/>
    </row>
    <row r="108" spans="1:21">
      <c r="A108" s="184"/>
      <c r="B108" s="15"/>
      <c r="C108" s="15"/>
      <c r="D108" s="86"/>
      <c r="E108" s="86"/>
      <c r="F108" s="17"/>
      <c r="G108" s="86"/>
      <c r="H108" s="91"/>
      <c r="I108" s="91"/>
      <c r="J108" s="91"/>
      <c r="K108" s="91"/>
      <c r="L108" s="91"/>
      <c r="M108" s="91"/>
      <c r="U108" s="88"/>
    </row>
    <row r="109" spans="1:21" ht="15.75">
      <c r="A109" s="183"/>
      <c r="B109" s="15"/>
      <c r="C109" s="15"/>
      <c r="D109" s="90"/>
      <c r="E109" s="86"/>
      <c r="F109" s="17"/>
      <c r="G109" s="86"/>
      <c r="H109" s="91"/>
      <c r="I109" s="91"/>
      <c r="J109" s="91"/>
      <c r="K109" s="91"/>
      <c r="L109" s="91"/>
      <c r="M109" s="91"/>
      <c r="U109" s="88"/>
    </row>
    <row r="110" spans="1:21">
      <c r="A110" s="184"/>
      <c r="B110" s="15"/>
      <c r="C110" s="15"/>
      <c r="D110" s="86"/>
      <c r="E110" s="86"/>
      <c r="F110" s="17"/>
      <c r="G110" s="86"/>
      <c r="H110" s="91"/>
      <c r="I110" s="91"/>
      <c r="J110" s="91"/>
      <c r="K110" s="91"/>
      <c r="L110" s="91"/>
      <c r="M110" s="91"/>
    </row>
    <row r="111" spans="1:21">
      <c r="A111" s="184"/>
      <c r="B111" s="15"/>
      <c r="C111" s="15"/>
      <c r="D111" s="86"/>
      <c r="E111" s="86"/>
      <c r="F111" s="17"/>
      <c r="G111" s="86"/>
      <c r="H111" s="91"/>
      <c r="I111" s="91"/>
      <c r="J111" s="91"/>
      <c r="K111" s="91"/>
      <c r="L111" s="91"/>
      <c r="M111" s="91"/>
    </row>
    <row r="112" spans="1:21">
      <c r="A112" s="184"/>
      <c r="B112" s="15"/>
      <c r="C112" s="15"/>
      <c r="D112" s="94"/>
      <c r="E112" s="86"/>
      <c r="F112" s="17"/>
      <c r="G112" s="86"/>
      <c r="H112" s="91"/>
      <c r="I112" s="91"/>
      <c r="J112" s="91"/>
      <c r="K112" s="91"/>
      <c r="L112" s="91"/>
      <c r="M112" s="91"/>
    </row>
    <row r="113" spans="1:13">
      <c r="A113" s="184"/>
      <c r="B113" s="95"/>
      <c r="C113" s="95"/>
      <c r="D113" s="86"/>
      <c r="E113" s="86"/>
      <c r="F113" s="17"/>
      <c r="G113" s="86"/>
      <c r="H113" s="91"/>
      <c r="I113" s="91"/>
      <c r="J113" s="91"/>
      <c r="K113" s="91"/>
      <c r="L113" s="91"/>
      <c r="M113" s="91"/>
    </row>
    <row r="114" spans="1:13">
      <c r="A114" s="182"/>
      <c r="B114" s="76"/>
      <c r="C114" s="76"/>
      <c r="D114" s="86"/>
      <c r="E114" s="86"/>
      <c r="F114" s="17"/>
      <c r="G114" s="86"/>
      <c r="H114" s="91"/>
      <c r="I114" s="91"/>
      <c r="J114" s="91"/>
      <c r="K114" s="91"/>
      <c r="L114" s="91"/>
      <c r="M114" s="91"/>
    </row>
    <row r="115" spans="1:13">
      <c r="A115" s="182"/>
      <c r="B115" s="76"/>
      <c r="C115" s="76"/>
      <c r="D115" s="86"/>
      <c r="E115" s="86"/>
      <c r="F115" s="17"/>
      <c r="G115" s="86"/>
      <c r="H115" s="91"/>
      <c r="I115" s="91"/>
      <c r="J115" s="91"/>
      <c r="K115" s="91"/>
      <c r="L115" s="91"/>
      <c r="M115" s="91"/>
    </row>
    <row r="116" spans="1:13">
      <c r="A116" s="184"/>
      <c r="B116" s="15"/>
      <c r="C116" s="15"/>
      <c r="D116" s="86"/>
      <c r="E116" s="86"/>
      <c r="F116" s="17"/>
      <c r="G116" s="86"/>
      <c r="H116" s="91"/>
      <c r="I116" s="91"/>
      <c r="J116" s="91"/>
      <c r="K116" s="91"/>
      <c r="L116" s="91"/>
      <c r="M116" s="91"/>
    </row>
    <row r="117" spans="1:13">
      <c r="A117" s="184"/>
      <c r="B117" s="76"/>
      <c r="C117" s="76"/>
      <c r="D117" s="86"/>
      <c r="E117" s="86"/>
      <c r="F117" s="17"/>
      <c r="G117" s="86"/>
      <c r="H117" s="91"/>
      <c r="I117" s="91"/>
      <c r="J117" s="91"/>
      <c r="K117" s="91"/>
      <c r="L117" s="91"/>
      <c r="M117" s="91"/>
    </row>
    <row r="118" spans="1:13">
      <c r="A118" s="182"/>
      <c r="B118" s="92"/>
      <c r="C118" s="92"/>
      <c r="D118" s="86"/>
      <c r="E118" s="86"/>
      <c r="F118" s="17"/>
      <c r="G118" s="86"/>
      <c r="H118" s="91"/>
      <c r="I118" s="91"/>
      <c r="J118" s="91"/>
      <c r="K118" s="91"/>
      <c r="L118" s="91"/>
      <c r="M118" s="91"/>
    </row>
    <row r="119" spans="1:13">
      <c r="A119" s="182"/>
      <c r="B119" s="15"/>
      <c r="C119" s="15"/>
      <c r="D119" s="94"/>
      <c r="E119" s="86"/>
      <c r="F119" s="17"/>
      <c r="G119" s="86"/>
      <c r="H119" s="91"/>
      <c r="I119" s="91"/>
      <c r="J119" s="91"/>
      <c r="K119" s="91"/>
      <c r="L119" s="91"/>
      <c r="M119" s="91"/>
    </row>
    <row r="120" spans="1:13">
      <c r="A120" s="182"/>
      <c r="B120" s="92"/>
      <c r="C120" s="92"/>
      <c r="D120" s="86"/>
      <c r="E120" s="86"/>
      <c r="F120" s="17"/>
      <c r="G120" s="86"/>
      <c r="H120" s="91"/>
      <c r="I120" s="91"/>
      <c r="J120" s="91"/>
      <c r="K120" s="91"/>
      <c r="L120" s="91"/>
      <c r="M120" s="91"/>
    </row>
    <row r="121" spans="1:13">
      <c r="A121" s="182"/>
      <c r="B121" s="15"/>
      <c r="C121" s="15"/>
      <c r="D121" s="96"/>
      <c r="E121" s="86"/>
      <c r="F121" s="17"/>
      <c r="G121" s="86"/>
      <c r="H121" s="91"/>
      <c r="I121" s="91"/>
      <c r="J121" s="91"/>
      <c r="K121" s="91"/>
      <c r="L121" s="91"/>
      <c r="M121" s="91"/>
    </row>
    <row r="122" spans="1:13">
      <c r="A122" s="185"/>
      <c r="B122" s="97"/>
      <c r="C122" s="97"/>
      <c r="D122" s="86"/>
      <c r="E122" s="86"/>
      <c r="F122" s="17"/>
      <c r="G122" s="86"/>
      <c r="H122" s="91"/>
      <c r="I122" s="91"/>
      <c r="J122" s="91"/>
      <c r="K122" s="91"/>
      <c r="L122" s="91"/>
      <c r="M122" s="91"/>
    </row>
    <row r="123" spans="1:13">
      <c r="A123" s="182"/>
      <c r="B123" s="15"/>
      <c r="C123" s="15"/>
      <c r="D123" s="16"/>
      <c r="E123" s="86"/>
      <c r="F123" s="17"/>
      <c r="G123" s="86"/>
      <c r="H123" s="91"/>
      <c r="I123" s="91"/>
      <c r="J123" s="91"/>
      <c r="K123" s="91"/>
      <c r="L123" s="91"/>
      <c r="M123" s="91"/>
    </row>
    <row r="124" spans="1:13">
      <c r="A124" s="182"/>
      <c r="B124" s="85"/>
      <c r="C124" s="85"/>
      <c r="D124" s="86"/>
      <c r="E124" s="86"/>
      <c r="F124" s="17"/>
      <c r="G124" s="86"/>
      <c r="H124" s="91"/>
      <c r="I124" s="91"/>
      <c r="J124" s="91"/>
      <c r="K124" s="91"/>
      <c r="L124" s="91"/>
      <c r="M124" s="91"/>
    </row>
    <row r="125" spans="1:13">
      <c r="A125" s="182"/>
      <c r="B125" s="85"/>
      <c r="C125" s="85"/>
      <c r="D125" s="86"/>
      <c r="E125" s="86"/>
      <c r="F125" s="17"/>
      <c r="G125" s="86"/>
      <c r="H125" s="91"/>
      <c r="I125" s="91"/>
      <c r="J125" s="91"/>
      <c r="K125" s="91"/>
      <c r="L125" s="91"/>
      <c r="M125" s="91"/>
    </row>
    <row r="126" spans="1:13">
      <c r="A126" s="184"/>
      <c r="B126" s="15"/>
      <c r="C126" s="15"/>
      <c r="D126" s="86"/>
      <c r="E126" s="86"/>
      <c r="F126" s="17"/>
      <c r="G126" s="86"/>
      <c r="H126" s="91"/>
      <c r="I126" s="91"/>
      <c r="J126" s="91"/>
      <c r="K126" s="91"/>
      <c r="L126" s="91"/>
      <c r="M126" s="91"/>
    </row>
    <row r="127" spans="1:13">
      <c r="A127" s="184"/>
      <c r="B127" s="15"/>
      <c r="C127" s="15"/>
      <c r="D127" s="86"/>
      <c r="E127" s="86"/>
      <c r="F127" s="17"/>
      <c r="G127" s="86"/>
      <c r="H127" s="91"/>
      <c r="I127" s="91"/>
      <c r="J127" s="91"/>
      <c r="K127" s="91"/>
      <c r="L127" s="91"/>
      <c r="M127" s="91"/>
    </row>
    <row r="128" spans="1:13">
      <c r="A128" s="184"/>
      <c r="B128" s="15"/>
      <c r="C128" s="15"/>
      <c r="D128" s="86"/>
      <c r="E128" s="86"/>
      <c r="F128" s="17"/>
      <c r="G128" s="86"/>
      <c r="H128" s="91"/>
      <c r="I128" s="91"/>
      <c r="J128" s="91"/>
      <c r="K128" s="91"/>
      <c r="L128" s="91"/>
      <c r="M128" s="91"/>
    </row>
    <row r="129" spans="1:13">
      <c r="A129" s="184"/>
      <c r="B129" s="15"/>
      <c r="C129" s="15"/>
      <c r="D129" s="86"/>
      <c r="E129" s="86"/>
      <c r="F129" s="17"/>
      <c r="G129" s="86"/>
      <c r="H129" s="91"/>
      <c r="I129" s="91"/>
      <c r="J129" s="91"/>
      <c r="K129" s="91"/>
      <c r="L129" s="91"/>
      <c r="M129" s="91"/>
    </row>
    <row r="130" spans="1:13">
      <c r="A130" s="184"/>
      <c r="B130" s="15"/>
      <c r="C130" s="15"/>
      <c r="D130" s="86"/>
      <c r="E130" s="86"/>
      <c r="F130" s="17"/>
      <c r="G130" s="86"/>
      <c r="H130" s="91"/>
      <c r="I130" s="91"/>
      <c r="J130" s="91"/>
      <c r="K130" s="91"/>
      <c r="L130" s="91"/>
      <c r="M130" s="91"/>
    </row>
    <row r="131" spans="1:13">
      <c r="A131" s="184"/>
      <c r="B131" s="15"/>
      <c r="C131" s="15"/>
      <c r="D131" s="86"/>
      <c r="E131" s="86"/>
      <c r="F131" s="17"/>
      <c r="G131" s="86"/>
      <c r="H131" s="91"/>
      <c r="I131" s="91"/>
      <c r="J131" s="91"/>
      <c r="K131" s="91"/>
      <c r="L131" s="91"/>
      <c r="M131" s="91"/>
    </row>
    <row r="132" spans="1:13">
      <c r="A132" s="184"/>
      <c r="B132" s="15"/>
      <c r="C132" s="15"/>
      <c r="D132" s="86"/>
      <c r="E132" s="86"/>
      <c r="F132" s="17"/>
      <c r="G132" s="86"/>
      <c r="H132" s="91"/>
      <c r="I132" s="91"/>
      <c r="J132" s="91"/>
      <c r="K132" s="91"/>
      <c r="L132" s="91"/>
      <c r="M132" s="91"/>
    </row>
    <row r="133" spans="1:13">
      <c r="A133" s="184"/>
      <c r="B133" s="15"/>
      <c r="C133" s="15"/>
      <c r="D133" s="86"/>
      <c r="E133" s="86"/>
      <c r="F133" s="17"/>
      <c r="G133" s="86"/>
      <c r="H133" s="91"/>
      <c r="I133" s="91"/>
      <c r="J133" s="91"/>
      <c r="K133" s="91"/>
      <c r="L133" s="91"/>
      <c r="M133" s="91"/>
    </row>
    <row r="134" spans="1:13">
      <c r="A134" s="184"/>
      <c r="B134" s="15"/>
      <c r="C134" s="15"/>
      <c r="D134" s="86"/>
      <c r="E134" s="86"/>
      <c r="F134" s="17"/>
      <c r="G134" s="86"/>
      <c r="H134" s="91"/>
      <c r="I134" s="91"/>
      <c r="J134" s="91"/>
      <c r="K134" s="91"/>
      <c r="L134" s="91"/>
      <c r="M134" s="91"/>
    </row>
    <row r="135" spans="1:13">
      <c r="A135" s="184"/>
      <c r="B135" s="15"/>
      <c r="C135" s="15"/>
      <c r="D135" s="86"/>
      <c r="E135" s="86"/>
      <c r="F135" s="17"/>
      <c r="G135" s="86"/>
      <c r="H135" s="91"/>
      <c r="I135" s="91"/>
      <c r="J135" s="91"/>
      <c r="K135" s="91"/>
      <c r="L135" s="91"/>
      <c r="M135" s="91"/>
    </row>
    <row r="136" spans="1:13">
      <c r="A136" s="184"/>
      <c r="B136" s="15"/>
      <c r="C136" s="15"/>
      <c r="D136" s="86"/>
      <c r="E136" s="86"/>
      <c r="F136" s="17"/>
      <c r="G136" s="86"/>
      <c r="H136" s="91"/>
      <c r="I136" s="91"/>
      <c r="J136" s="91"/>
      <c r="K136" s="91"/>
      <c r="L136" s="91"/>
      <c r="M136" s="91"/>
    </row>
    <row r="137" spans="1:13">
      <c r="A137" s="184"/>
      <c r="B137" s="15"/>
      <c r="C137" s="15"/>
      <c r="D137" s="86"/>
      <c r="E137" s="86"/>
      <c r="F137" s="17"/>
      <c r="G137" s="86"/>
      <c r="H137" s="91"/>
      <c r="I137" s="91"/>
      <c r="J137" s="91"/>
      <c r="K137" s="91"/>
      <c r="L137" s="91"/>
      <c r="M137" s="91"/>
    </row>
    <row r="138" spans="1:13">
      <c r="A138" s="184"/>
      <c r="B138" s="15"/>
      <c r="C138" s="15"/>
      <c r="D138" s="86"/>
      <c r="E138" s="86"/>
      <c r="F138" s="17"/>
      <c r="G138" s="86"/>
      <c r="H138" s="91"/>
      <c r="I138" s="91"/>
      <c r="J138" s="91"/>
      <c r="K138" s="91"/>
      <c r="L138" s="91"/>
      <c r="M138" s="91"/>
    </row>
    <row r="139" spans="1:13">
      <c r="A139" s="184"/>
      <c r="B139" s="15"/>
      <c r="C139" s="15"/>
      <c r="D139" s="86"/>
      <c r="E139" s="86"/>
      <c r="F139" s="17"/>
      <c r="G139" s="86"/>
      <c r="H139" s="91"/>
      <c r="I139" s="91"/>
      <c r="J139" s="91"/>
      <c r="K139" s="91"/>
      <c r="L139" s="91"/>
      <c r="M139" s="91"/>
    </row>
    <row r="140" spans="1:13">
      <c r="A140" s="184"/>
      <c r="B140" s="15"/>
      <c r="C140" s="15"/>
      <c r="D140" s="86"/>
      <c r="E140" s="86"/>
      <c r="F140" s="17"/>
      <c r="G140" s="86"/>
      <c r="H140" s="91"/>
      <c r="I140" s="91"/>
      <c r="J140" s="91"/>
      <c r="K140" s="91"/>
      <c r="L140" s="91"/>
      <c r="M140" s="91"/>
    </row>
    <row r="141" spans="1:13">
      <c r="A141" s="184"/>
      <c r="B141" s="15"/>
      <c r="C141" s="15"/>
      <c r="D141" s="86"/>
      <c r="E141" s="86"/>
      <c r="F141" s="17"/>
      <c r="G141" s="86"/>
      <c r="H141" s="91"/>
      <c r="I141" s="91"/>
      <c r="J141" s="91"/>
      <c r="K141" s="91"/>
      <c r="L141" s="91"/>
      <c r="M141" s="91"/>
    </row>
    <row r="142" spans="1:13">
      <c r="A142" s="184"/>
      <c r="B142" s="15"/>
      <c r="C142" s="15"/>
      <c r="D142" s="86"/>
      <c r="E142" s="86"/>
      <c r="F142" s="17"/>
      <c r="G142" s="86"/>
      <c r="H142" s="91"/>
      <c r="I142" s="91"/>
      <c r="J142" s="91"/>
      <c r="K142" s="91"/>
      <c r="L142" s="91"/>
      <c r="M142" s="91"/>
    </row>
    <row r="143" spans="1:13">
      <c r="A143" s="184"/>
      <c r="B143" s="15"/>
      <c r="C143" s="15"/>
      <c r="D143" s="86"/>
      <c r="E143" s="86"/>
      <c r="F143" s="17"/>
      <c r="G143" s="86"/>
      <c r="H143" s="91"/>
      <c r="I143" s="91"/>
      <c r="J143" s="91"/>
      <c r="K143" s="91"/>
      <c r="L143" s="91"/>
      <c r="M143" s="91"/>
    </row>
    <row r="144" spans="1:13">
      <c r="A144" s="184"/>
      <c r="B144" s="15"/>
      <c r="C144" s="15"/>
      <c r="D144" s="86"/>
      <c r="E144" s="86"/>
      <c r="F144" s="17"/>
      <c r="G144" s="86"/>
      <c r="H144" s="91"/>
      <c r="I144" s="91"/>
      <c r="J144" s="91"/>
      <c r="K144" s="91"/>
      <c r="L144" s="91"/>
      <c r="M144" s="91"/>
    </row>
    <row r="145" spans="1:13">
      <c r="A145" s="184"/>
      <c r="B145" s="15"/>
      <c r="C145" s="15"/>
      <c r="D145" s="86"/>
      <c r="E145" s="86"/>
      <c r="F145" s="17"/>
      <c r="G145" s="86"/>
      <c r="H145" s="91"/>
      <c r="I145" s="91"/>
      <c r="J145" s="91"/>
      <c r="K145" s="91"/>
      <c r="L145" s="91"/>
      <c r="M145" s="91"/>
    </row>
    <row r="146" spans="1:13">
      <c r="A146" s="184"/>
      <c r="B146" s="15"/>
      <c r="C146" s="15"/>
      <c r="D146" s="86"/>
      <c r="E146" s="86"/>
      <c r="F146" s="17"/>
      <c r="G146" s="86"/>
      <c r="H146" s="91"/>
      <c r="I146" s="91"/>
      <c r="J146" s="91"/>
      <c r="K146" s="91"/>
      <c r="L146" s="91"/>
      <c r="M146" s="91"/>
    </row>
    <row r="147" spans="1:13">
      <c r="A147" s="184"/>
      <c r="B147" s="15"/>
      <c r="C147" s="15"/>
      <c r="D147" s="86"/>
      <c r="E147" s="86"/>
      <c r="F147" s="17"/>
      <c r="G147" s="86"/>
      <c r="H147" s="91"/>
      <c r="I147" s="91"/>
      <c r="J147" s="91"/>
      <c r="K147" s="91"/>
      <c r="L147" s="91"/>
      <c r="M147" s="91"/>
    </row>
    <row r="148" spans="1:13">
      <c r="A148" s="184"/>
      <c r="B148" s="15"/>
      <c r="C148" s="15"/>
      <c r="D148" s="86"/>
      <c r="E148" s="86"/>
      <c r="F148" s="17"/>
      <c r="G148" s="86"/>
      <c r="H148" s="91"/>
      <c r="I148" s="91"/>
      <c r="J148" s="91"/>
      <c r="K148" s="91"/>
      <c r="L148" s="91"/>
      <c r="M148" s="91"/>
    </row>
    <row r="149" spans="1:13">
      <c r="A149" s="184"/>
      <c r="B149" s="15"/>
      <c r="C149" s="15"/>
      <c r="D149" s="86"/>
      <c r="E149" s="86"/>
      <c r="F149" s="17"/>
      <c r="G149" s="86"/>
      <c r="H149" s="91"/>
      <c r="I149" s="91"/>
      <c r="J149" s="91"/>
      <c r="K149" s="91"/>
      <c r="L149" s="91"/>
      <c r="M149" s="91"/>
    </row>
    <row r="150" spans="1:13">
      <c r="A150" s="184"/>
      <c r="B150" s="15"/>
      <c r="C150" s="15"/>
      <c r="D150" s="86"/>
      <c r="E150" s="86"/>
      <c r="F150" s="17"/>
      <c r="G150" s="86"/>
      <c r="H150" s="91"/>
      <c r="I150" s="91"/>
      <c r="J150" s="91"/>
      <c r="K150" s="91"/>
      <c r="L150" s="91"/>
      <c r="M150" s="91"/>
    </row>
    <row r="151" spans="1:13">
      <c r="A151" s="184"/>
      <c r="B151" s="15"/>
      <c r="C151" s="15"/>
      <c r="D151" s="86"/>
      <c r="E151" s="86"/>
      <c r="F151" s="17"/>
      <c r="G151" s="86"/>
      <c r="H151" s="91"/>
      <c r="I151" s="91"/>
      <c r="J151" s="91"/>
      <c r="K151" s="91"/>
      <c r="L151" s="91"/>
      <c r="M151" s="91"/>
    </row>
    <row r="152" spans="1:13">
      <c r="A152" s="184"/>
      <c r="B152" s="15"/>
      <c r="C152" s="15"/>
      <c r="D152" s="86"/>
      <c r="E152" s="86"/>
      <c r="F152" s="17"/>
      <c r="G152" s="86"/>
      <c r="H152" s="91"/>
      <c r="I152" s="91"/>
      <c r="J152" s="91"/>
      <c r="K152" s="91"/>
      <c r="L152" s="91"/>
      <c r="M152" s="91"/>
    </row>
    <row r="153" spans="1:13">
      <c r="A153" s="184"/>
      <c r="B153" s="15"/>
      <c r="C153" s="15"/>
      <c r="D153" s="86"/>
      <c r="E153" s="86"/>
      <c r="F153" s="17"/>
      <c r="G153" s="86"/>
      <c r="H153" s="91"/>
      <c r="I153" s="91"/>
      <c r="J153" s="91"/>
      <c r="K153" s="91"/>
      <c r="L153" s="91"/>
      <c r="M153" s="91"/>
    </row>
    <row r="154" spans="1:13">
      <c r="A154" s="184"/>
      <c r="B154" s="15"/>
      <c r="C154" s="15"/>
      <c r="D154" s="86"/>
      <c r="E154" s="86"/>
      <c r="F154" s="17"/>
      <c r="G154" s="86"/>
      <c r="H154" s="91"/>
      <c r="I154" s="91"/>
      <c r="J154" s="91"/>
      <c r="K154" s="91"/>
      <c r="L154" s="91"/>
      <c r="M154" s="91"/>
    </row>
    <row r="155" spans="1:13">
      <c r="A155" s="184"/>
      <c r="B155" s="15"/>
      <c r="C155" s="15"/>
      <c r="D155" s="86"/>
      <c r="E155" s="86"/>
      <c r="F155" s="17"/>
      <c r="G155" s="86"/>
      <c r="H155" s="91"/>
      <c r="I155" s="91"/>
      <c r="J155" s="91"/>
      <c r="K155" s="91"/>
      <c r="L155" s="91"/>
      <c r="M155" s="91"/>
    </row>
    <row r="156" spans="1:13">
      <c r="A156" s="184"/>
      <c r="B156" s="15"/>
      <c r="C156" s="15"/>
      <c r="D156" s="86"/>
      <c r="E156" s="86"/>
      <c r="F156" s="17"/>
      <c r="G156" s="86"/>
      <c r="H156" s="91"/>
      <c r="I156" s="91"/>
      <c r="J156" s="91"/>
      <c r="K156" s="91"/>
      <c r="L156" s="91"/>
      <c r="M156" s="91"/>
    </row>
    <row r="157" spans="1:13">
      <c r="A157" s="184"/>
      <c r="B157" s="15"/>
      <c r="C157" s="15"/>
      <c r="D157" s="86"/>
      <c r="E157" s="86"/>
      <c r="F157" s="17"/>
      <c r="G157" s="86"/>
      <c r="H157" s="91"/>
      <c r="I157" s="91"/>
      <c r="J157" s="91"/>
      <c r="K157" s="91"/>
      <c r="L157" s="91"/>
      <c r="M157" s="91"/>
    </row>
    <row r="158" spans="1:13">
      <c r="A158" s="184"/>
      <c r="B158" s="15"/>
      <c r="C158" s="15"/>
      <c r="D158" s="86"/>
      <c r="E158" s="86"/>
      <c r="F158" s="17"/>
      <c r="G158" s="86"/>
      <c r="H158" s="91"/>
      <c r="I158" s="91"/>
      <c r="J158" s="91"/>
      <c r="K158" s="91"/>
      <c r="L158" s="91"/>
      <c r="M158" s="91"/>
    </row>
    <row r="159" spans="1:13">
      <c r="A159" s="184"/>
      <c r="B159" s="15"/>
      <c r="C159" s="15"/>
      <c r="D159" s="86"/>
      <c r="E159" s="86"/>
      <c r="F159" s="17"/>
      <c r="G159" s="86"/>
      <c r="H159" s="91"/>
      <c r="I159" s="91"/>
      <c r="J159" s="91"/>
      <c r="K159" s="91"/>
      <c r="L159" s="91"/>
      <c r="M159" s="91"/>
    </row>
    <row r="160" spans="1:13">
      <c r="A160" s="184"/>
      <c r="B160" s="15"/>
      <c r="C160" s="15"/>
      <c r="D160" s="86"/>
      <c r="E160" s="86"/>
      <c r="F160" s="17"/>
      <c r="G160" s="86"/>
      <c r="H160" s="91"/>
      <c r="I160" s="91"/>
      <c r="J160" s="91"/>
      <c r="K160" s="91"/>
      <c r="L160" s="91"/>
      <c r="M160" s="91"/>
    </row>
    <row r="161" spans="1:13">
      <c r="A161" s="184"/>
      <c r="B161" s="15"/>
      <c r="C161" s="15"/>
      <c r="D161" s="86"/>
      <c r="E161" s="86"/>
      <c r="F161" s="17"/>
      <c r="G161" s="86"/>
      <c r="H161" s="91"/>
      <c r="I161" s="91"/>
      <c r="J161" s="91"/>
      <c r="K161" s="91"/>
      <c r="L161" s="91"/>
      <c r="M161" s="91"/>
    </row>
    <row r="162" spans="1:13">
      <c r="A162" s="184"/>
      <c r="B162" s="15"/>
      <c r="C162" s="15"/>
      <c r="D162" s="86"/>
      <c r="E162" s="86"/>
      <c r="F162" s="17"/>
      <c r="G162" s="86"/>
      <c r="H162" s="91"/>
      <c r="I162" s="91"/>
      <c r="J162" s="91"/>
      <c r="K162" s="91"/>
      <c r="L162" s="91"/>
      <c r="M162" s="91"/>
    </row>
    <row r="163" spans="1:13">
      <c r="A163" s="184"/>
      <c r="B163" s="15"/>
      <c r="C163" s="15"/>
      <c r="D163" s="86"/>
      <c r="E163" s="86"/>
      <c r="F163" s="17"/>
      <c r="G163" s="86"/>
      <c r="H163" s="91"/>
      <c r="I163" s="91"/>
      <c r="J163" s="91"/>
      <c r="K163" s="91"/>
      <c r="L163" s="91"/>
      <c r="M163" s="91"/>
    </row>
    <row r="164" spans="1:13">
      <c r="A164" s="184"/>
      <c r="B164" s="15"/>
      <c r="C164" s="15"/>
      <c r="D164" s="86"/>
      <c r="E164" s="86"/>
      <c r="F164" s="17"/>
      <c r="G164" s="86"/>
      <c r="H164" s="91"/>
      <c r="I164" s="91"/>
      <c r="J164" s="91"/>
      <c r="K164" s="91"/>
      <c r="L164" s="91"/>
      <c r="M164" s="91"/>
    </row>
    <row r="165" spans="1:13">
      <c r="A165" s="184"/>
      <c r="B165" s="15"/>
      <c r="C165" s="15"/>
      <c r="D165" s="86"/>
      <c r="E165" s="86"/>
      <c r="F165" s="17"/>
      <c r="G165" s="86"/>
      <c r="H165" s="91"/>
      <c r="I165" s="91"/>
      <c r="J165" s="91"/>
      <c r="K165" s="91"/>
      <c r="L165" s="91"/>
      <c r="M165" s="91"/>
    </row>
    <row r="166" spans="1:13">
      <c r="A166" s="184"/>
      <c r="B166" s="15"/>
      <c r="C166" s="15"/>
      <c r="D166" s="86"/>
      <c r="E166" s="86"/>
      <c r="F166" s="17"/>
      <c r="G166" s="86"/>
      <c r="H166" s="91"/>
      <c r="I166" s="91"/>
      <c r="J166" s="91"/>
      <c r="K166" s="91"/>
      <c r="L166" s="91"/>
      <c r="M166" s="91"/>
    </row>
    <row r="167" spans="1:13">
      <c r="A167" s="184"/>
      <c r="B167" s="15"/>
      <c r="C167" s="15"/>
      <c r="D167" s="86"/>
      <c r="E167" s="86"/>
      <c r="F167" s="17"/>
      <c r="G167" s="86"/>
      <c r="H167" s="91"/>
      <c r="I167" s="91"/>
      <c r="J167" s="91"/>
      <c r="K167" s="91"/>
      <c r="L167" s="91"/>
      <c r="M167" s="91"/>
    </row>
    <row r="168" spans="1:13">
      <c r="A168" s="184"/>
      <c r="B168" s="15"/>
      <c r="C168" s="15"/>
      <c r="D168" s="86"/>
      <c r="E168" s="86"/>
      <c r="F168" s="17"/>
      <c r="G168" s="86"/>
      <c r="H168" s="91"/>
      <c r="I168" s="91"/>
      <c r="J168" s="91"/>
      <c r="K168" s="91"/>
      <c r="L168" s="91"/>
      <c r="M168" s="91"/>
    </row>
    <row r="169" spans="1:13">
      <c r="A169" s="184"/>
      <c r="B169" s="15"/>
      <c r="C169" s="15"/>
      <c r="D169" s="86"/>
      <c r="E169" s="86"/>
      <c r="F169" s="17"/>
      <c r="G169" s="86"/>
      <c r="H169" s="91"/>
      <c r="I169" s="91"/>
      <c r="J169" s="91"/>
      <c r="K169" s="91"/>
      <c r="L169" s="91"/>
      <c r="M169" s="91"/>
    </row>
    <row r="170" spans="1:13">
      <c r="A170" s="184"/>
      <c r="B170" s="15"/>
      <c r="C170" s="15"/>
      <c r="D170" s="86"/>
      <c r="E170" s="86"/>
      <c r="F170" s="17"/>
      <c r="G170" s="86"/>
      <c r="H170" s="91"/>
      <c r="I170" s="91"/>
      <c r="J170" s="91"/>
      <c r="K170" s="91"/>
      <c r="L170" s="91"/>
      <c r="M170" s="91"/>
    </row>
    <row r="171" spans="1:13">
      <c r="A171" s="184"/>
      <c r="B171" s="15"/>
      <c r="C171" s="15"/>
      <c r="D171" s="86"/>
      <c r="E171" s="86"/>
      <c r="F171" s="17"/>
      <c r="G171" s="86"/>
      <c r="H171" s="91"/>
      <c r="I171" s="91"/>
      <c r="J171" s="91"/>
      <c r="K171" s="91"/>
      <c r="L171" s="91"/>
      <c r="M171" s="91"/>
    </row>
    <row r="172" spans="1:13">
      <c r="A172" s="184"/>
      <c r="B172" s="15"/>
      <c r="C172" s="15"/>
      <c r="D172" s="86"/>
      <c r="E172" s="86"/>
      <c r="F172" s="17"/>
      <c r="G172" s="86"/>
      <c r="H172" s="91"/>
      <c r="I172" s="91"/>
      <c r="J172" s="91"/>
      <c r="K172" s="91"/>
      <c r="L172" s="91"/>
      <c r="M172" s="91"/>
    </row>
    <row r="173" spans="1:13">
      <c r="A173" s="184"/>
      <c r="B173" s="15"/>
      <c r="C173" s="15"/>
      <c r="D173" s="86"/>
      <c r="E173" s="86"/>
      <c r="F173" s="17"/>
      <c r="G173" s="86"/>
      <c r="H173" s="91"/>
      <c r="I173" s="91"/>
      <c r="J173" s="91"/>
      <c r="K173" s="91"/>
      <c r="L173" s="91"/>
      <c r="M173" s="91"/>
    </row>
    <row r="174" spans="1:13">
      <c r="A174" s="184"/>
      <c r="B174" s="15"/>
      <c r="C174" s="15"/>
      <c r="D174" s="86"/>
      <c r="E174" s="86"/>
      <c r="F174" s="17"/>
      <c r="G174" s="86"/>
      <c r="H174" s="91"/>
      <c r="I174" s="91"/>
      <c r="J174" s="91"/>
      <c r="K174" s="91"/>
      <c r="L174" s="91"/>
      <c r="M174" s="91"/>
    </row>
    <row r="175" spans="1:13">
      <c r="A175" s="184"/>
      <c r="B175" s="15"/>
      <c r="C175" s="15"/>
      <c r="D175" s="86"/>
      <c r="E175" s="86"/>
      <c r="F175" s="17"/>
      <c r="G175" s="86"/>
      <c r="H175" s="91"/>
      <c r="I175" s="91"/>
      <c r="J175" s="91"/>
      <c r="K175" s="91"/>
      <c r="L175" s="91"/>
      <c r="M175" s="91"/>
    </row>
    <row r="176" spans="1:13">
      <c r="A176" s="184"/>
      <c r="B176" s="15"/>
      <c r="C176" s="15"/>
      <c r="D176" s="86"/>
      <c r="E176" s="86"/>
      <c r="F176" s="17"/>
      <c r="G176" s="86"/>
      <c r="H176" s="91"/>
      <c r="I176" s="91"/>
      <c r="J176" s="91"/>
      <c r="K176" s="91"/>
      <c r="L176" s="91"/>
      <c r="M176" s="91"/>
    </row>
    <row r="177" spans="1:13">
      <c r="A177" s="184"/>
      <c r="B177" s="15"/>
      <c r="C177" s="15"/>
      <c r="D177" s="86"/>
      <c r="E177" s="86"/>
      <c r="F177" s="17"/>
      <c r="G177" s="86"/>
      <c r="H177" s="91"/>
      <c r="I177" s="91"/>
      <c r="J177" s="91"/>
      <c r="K177" s="91"/>
      <c r="L177" s="91"/>
      <c r="M177" s="91"/>
    </row>
    <row r="178" spans="1:13">
      <c r="A178" s="184"/>
      <c r="B178" s="15"/>
      <c r="C178" s="15"/>
      <c r="D178" s="86"/>
      <c r="E178" s="86"/>
      <c r="F178" s="17"/>
      <c r="G178" s="86"/>
      <c r="H178" s="91"/>
      <c r="I178" s="91"/>
      <c r="J178" s="91"/>
      <c r="K178" s="91"/>
      <c r="L178" s="91"/>
      <c r="M178" s="91"/>
    </row>
    <row r="179" spans="1:13">
      <c r="A179" s="184"/>
      <c r="B179" s="15"/>
      <c r="C179" s="15"/>
      <c r="D179" s="86"/>
      <c r="E179" s="86"/>
      <c r="F179" s="17"/>
      <c r="G179" s="86"/>
      <c r="H179" s="91"/>
      <c r="I179" s="91"/>
      <c r="J179" s="91"/>
      <c r="K179" s="91"/>
      <c r="L179" s="91"/>
      <c r="M179" s="91"/>
    </row>
    <row r="180" spans="1:13">
      <c r="A180" s="184"/>
      <c r="B180" s="15"/>
      <c r="C180" s="15"/>
      <c r="D180" s="86"/>
      <c r="E180" s="86"/>
      <c r="F180" s="17"/>
      <c r="G180" s="86"/>
      <c r="H180" s="91"/>
      <c r="I180" s="91"/>
      <c r="J180" s="91"/>
      <c r="K180" s="91"/>
      <c r="L180" s="91"/>
      <c r="M180" s="91"/>
    </row>
    <row r="181" spans="1:13">
      <c r="A181" s="184"/>
      <c r="B181" s="15"/>
      <c r="C181" s="15"/>
      <c r="D181" s="86"/>
      <c r="E181" s="86"/>
      <c r="F181" s="17"/>
      <c r="G181" s="86"/>
      <c r="H181" s="91"/>
      <c r="I181" s="91"/>
      <c r="J181" s="91"/>
      <c r="K181" s="91"/>
      <c r="L181" s="91"/>
      <c r="M181" s="91"/>
    </row>
    <row r="182" spans="1:13">
      <c r="A182" s="184"/>
      <c r="B182" s="15"/>
      <c r="C182" s="15"/>
      <c r="D182" s="86"/>
      <c r="E182" s="86"/>
      <c r="F182" s="17"/>
      <c r="G182" s="86"/>
      <c r="H182" s="91"/>
      <c r="I182" s="91"/>
      <c r="J182" s="91"/>
      <c r="K182" s="91"/>
      <c r="L182" s="91"/>
      <c r="M182" s="91"/>
    </row>
    <row r="183" spans="1:13">
      <c r="A183" s="184"/>
      <c r="B183" s="15"/>
      <c r="C183" s="15"/>
      <c r="D183" s="86"/>
      <c r="E183" s="86"/>
      <c r="F183" s="17"/>
      <c r="G183" s="86"/>
      <c r="H183" s="91"/>
      <c r="I183" s="91"/>
      <c r="J183" s="91"/>
      <c r="K183" s="91"/>
      <c r="L183" s="91"/>
      <c r="M183" s="91"/>
    </row>
    <row r="184" spans="1:13">
      <c r="A184" s="184"/>
      <c r="B184" s="15"/>
      <c r="C184" s="15"/>
      <c r="D184" s="86"/>
      <c r="E184" s="86"/>
      <c r="F184" s="17"/>
      <c r="G184" s="86"/>
      <c r="H184" s="91"/>
      <c r="I184" s="91"/>
      <c r="J184" s="91"/>
      <c r="K184" s="91"/>
      <c r="L184" s="91"/>
      <c r="M184" s="91"/>
    </row>
    <row r="185" spans="1:13">
      <c r="A185" s="184"/>
      <c r="B185" s="15"/>
      <c r="C185" s="15"/>
      <c r="D185" s="86"/>
      <c r="E185" s="86"/>
      <c r="F185" s="17"/>
      <c r="G185" s="86"/>
      <c r="H185" s="91"/>
      <c r="I185" s="91"/>
      <c r="J185" s="91"/>
      <c r="K185" s="91"/>
      <c r="L185" s="91"/>
      <c r="M185" s="91"/>
    </row>
    <row r="186" spans="1:13">
      <c r="A186" s="184"/>
      <c r="B186" s="15"/>
      <c r="C186" s="15"/>
      <c r="D186" s="86"/>
      <c r="E186" s="86"/>
      <c r="F186" s="17"/>
      <c r="G186" s="86"/>
      <c r="H186" s="91"/>
      <c r="I186" s="91"/>
      <c r="J186" s="91"/>
      <c r="K186" s="91"/>
      <c r="L186" s="91"/>
      <c r="M186" s="91"/>
    </row>
    <row r="187" spans="1:13">
      <c r="A187" s="184"/>
      <c r="B187" s="15"/>
      <c r="C187" s="15"/>
      <c r="D187" s="86"/>
      <c r="E187" s="86"/>
      <c r="F187" s="17"/>
      <c r="G187" s="86"/>
      <c r="H187" s="91"/>
      <c r="I187" s="91"/>
      <c r="J187" s="91"/>
      <c r="K187" s="91"/>
      <c r="L187" s="91"/>
      <c r="M187" s="91"/>
    </row>
    <row r="188" spans="1:13">
      <c r="A188" s="184"/>
      <c r="B188" s="15"/>
      <c r="C188" s="15"/>
      <c r="D188" s="86"/>
      <c r="E188" s="86"/>
      <c r="F188" s="17"/>
      <c r="G188" s="86"/>
      <c r="H188" s="91"/>
      <c r="I188" s="91"/>
      <c r="J188" s="91"/>
      <c r="K188" s="91"/>
      <c r="L188" s="91"/>
      <c r="M188" s="91"/>
    </row>
    <row r="189" spans="1:13">
      <c r="A189" s="184"/>
      <c r="B189" s="15"/>
      <c r="C189" s="15"/>
      <c r="D189" s="86"/>
      <c r="E189" s="86"/>
      <c r="F189" s="17"/>
      <c r="G189" s="86"/>
      <c r="H189" s="91"/>
      <c r="I189" s="91"/>
      <c r="J189" s="91"/>
      <c r="K189" s="91"/>
      <c r="L189" s="91"/>
      <c r="M189" s="91"/>
    </row>
    <row r="190" spans="1:13">
      <c r="A190" s="184"/>
      <c r="B190" s="15"/>
      <c r="C190" s="15"/>
      <c r="D190" s="86"/>
      <c r="E190" s="86"/>
      <c r="F190" s="17"/>
      <c r="G190" s="86"/>
      <c r="H190" s="91"/>
      <c r="I190" s="91"/>
      <c r="J190" s="91"/>
      <c r="K190" s="91"/>
      <c r="L190" s="91"/>
      <c r="M190" s="91"/>
    </row>
    <row r="191" spans="1:13">
      <c r="A191" s="184"/>
      <c r="B191" s="15"/>
      <c r="C191" s="15"/>
      <c r="D191" s="86"/>
      <c r="E191" s="86"/>
      <c r="F191" s="17"/>
      <c r="G191" s="86"/>
      <c r="H191" s="91"/>
      <c r="I191" s="91"/>
      <c r="J191" s="91"/>
      <c r="K191" s="91"/>
      <c r="L191" s="91"/>
      <c r="M191" s="91"/>
    </row>
    <row r="192" spans="1:13">
      <c r="A192" s="184"/>
      <c r="B192" s="15"/>
      <c r="C192" s="15"/>
      <c r="D192" s="86"/>
      <c r="E192" s="86"/>
      <c r="F192" s="17"/>
      <c r="G192" s="86"/>
      <c r="H192" s="91"/>
      <c r="I192" s="91"/>
      <c r="J192" s="91"/>
      <c r="K192" s="91"/>
      <c r="L192" s="91"/>
      <c r="M192" s="91"/>
    </row>
    <row r="193" spans="1:13">
      <c r="A193" s="184"/>
      <c r="B193" s="15"/>
      <c r="C193" s="15"/>
      <c r="D193" s="86"/>
      <c r="E193" s="86"/>
      <c r="F193" s="17"/>
      <c r="G193" s="86"/>
      <c r="H193" s="91"/>
      <c r="I193" s="91"/>
      <c r="J193" s="91"/>
      <c r="K193" s="91"/>
      <c r="L193" s="91"/>
      <c r="M193" s="91"/>
    </row>
    <row r="194" spans="1:13">
      <c r="A194" s="184"/>
      <c r="B194" s="15"/>
      <c r="C194" s="15"/>
      <c r="D194" s="86"/>
      <c r="E194" s="86"/>
      <c r="F194" s="17"/>
      <c r="G194" s="86"/>
      <c r="H194" s="91"/>
      <c r="I194" s="91"/>
      <c r="J194" s="91"/>
      <c r="K194" s="91"/>
      <c r="L194" s="91"/>
      <c r="M194" s="91"/>
    </row>
    <row r="195" spans="1:13">
      <c r="A195" s="184"/>
      <c r="B195" s="15"/>
      <c r="C195" s="15"/>
      <c r="D195" s="86"/>
      <c r="E195" s="86"/>
      <c r="F195" s="17"/>
      <c r="G195" s="86"/>
      <c r="H195" s="91"/>
      <c r="I195" s="91"/>
      <c r="J195" s="91"/>
      <c r="K195" s="91"/>
      <c r="L195" s="91"/>
      <c r="M195" s="91"/>
    </row>
    <row r="196" spans="1:13">
      <c r="A196" s="184"/>
      <c r="B196" s="15"/>
      <c r="C196" s="15"/>
      <c r="D196" s="86"/>
      <c r="E196" s="86"/>
      <c r="F196" s="17"/>
      <c r="G196" s="86"/>
      <c r="H196" s="91"/>
      <c r="I196" s="91"/>
      <c r="J196" s="91"/>
      <c r="K196" s="91"/>
      <c r="L196" s="91"/>
      <c r="M196" s="91"/>
    </row>
    <row r="197" spans="1:13">
      <c r="A197" s="184"/>
      <c r="B197" s="15"/>
      <c r="C197" s="15"/>
      <c r="D197" s="86"/>
      <c r="E197" s="86"/>
      <c r="F197" s="17"/>
      <c r="G197" s="86"/>
      <c r="H197" s="91"/>
      <c r="I197" s="91"/>
      <c r="J197" s="91"/>
      <c r="K197" s="91"/>
      <c r="L197" s="91"/>
      <c r="M197" s="91"/>
    </row>
    <row r="198" spans="1:13">
      <c r="A198" s="184"/>
      <c r="B198" s="15"/>
      <c r="C198" s="15"/>
      <c r="D198" s="86"/>
      <c r="E198" s="86"/>
      <c r="F198" s="17"/>
      <c r="G198" s="86"/>
      <c r="H198" s="91"/>
      <c r="I198" s="91"/>
      <c r="J198" s="91"/>
      <c r="K198" s="91"/>
      <c r="L198" s="91"/>
      <c r="M198" s="91"/>
    </row>
    <row r="199" spans="1:13">
      <c r="A199" s="184"/>
      <c r="B199" s="15"/>
      <c r="C199" s="15"/>
      <c r="D199" s="86"/>
      <c r="E199" s="86"/>
      <c r="F199" s="17"/>
      <c r="G199" s="86"/>
      <c r="H199" s="91"/>
      <c r="I199" s="91"/>
      <c r="J199" s="91"/>
      <c r="K199" s="91"/>
      <c r="L199" s="91"/>
      <c r="M199" s="91"/>
    </row>
    <row r="200" spans="1:13">
      <c r="A200" s="184"/>
      <c r="B200" s="15"/>
      <c r="C200" s="15"/>
      <c r="D200" s="86"/>
      <c r="E200" s="86"/>
      <c r="F200" s="17"/>
      <c r="G200" s="86"/>
      <c r="H200" s="91"/>
      <c r="I200" s="91"/>
      <c r="J200" s="91"/>
      <c r="K200" s="91"/>
      <c r="L200" s="91"/>
      <c r="M200" s="91"/>
    </row>
    <row r="201" spans="1:13">
      <c r="A201" s="184"/>
      <c r="B201" s="15"/>
      <c r="C201" s="15"/>
      <c r="D201" s="86"/>
      <c r="E201" s="86"/>
      <c r="F201" s="17"/>
      <c r="G201" s="86"/>
      <c r="H201" s="91"/>
      <c r="I201" s="91"/>
      <c r="J201" s="91"/>
      <c r="K201" s="91"/>
      <c r="L201" s="91"/>
      <c r="M201" s="91"/>
    </row>
    <row r="202" spans="1:13">
      <c r="A202" s="184"/>
      <c r="B202" s="15"/>
      <c r="C202" s="15"/>
      <c r="D202" s="86"/>
      <c r="E202" s="86"/>
      <c r="F202" s="17"/>
      <c r="G202" s="86"/>
      <c r="H202" s="91"/>
      <c r="I202" s="91"/>
      <c r="J202" s="91"/>
      <c r="K202" s="91"/>
      <c r="L202" s="91"/>
      <c r="M202" s="91"/>
    </row>
  </sheetData>
  <sheetProtection selectLockedCells="1"/>
  <protectedRanges>
    <protectedRange sqref="A2" name="Range1"/>
  </protectedRanges>
  <dataConsolidate/>
  <customSheetViews>
    <customSheetView guid="{AB1FFAD6-1D3B-42E3-A3A7-9220125B4B05}" scale="75" showGridLines="0" hiddenRows="1">
      <pane xSplit="7" ySplit="7" topLeftCell="P44" activePane="bottomRight" state="frozen"/>
      <selection pane="bottomRight" activeCell="E50" sqref="E50"/>
      <rowBreaks count="1" manualBreakCount="1">
        <brk id="44" max="19" man="1"/>
      </rowBreaks>
      <pageMargins left="0" right="0" top="0" bottom="0.5" header="0.19" footer="0.2"/>
      <printOptions verticalCentered="1"/>
      <pageSetup paperSize="17" scale="68" fitToHeight="2" orientation="landscape" cellComments="asDisplayed" r:id="rId1"/>
      <headerFooter alignWithMargins="0">
        <oddFooter>&amp;L&amp;A&amp;CDate Printed:  &amp;D                                                                 &amp;R&amp;P of &amp;N</oddFooter>
      </headerFooter>
    </customSheetView>
    <customSheetView guid="{91A667C6-F252-4792-89C6-D1CF90C6139A}" scale="75" showGridLines="0" hiddenRows="1">
      <pane xSplit="7" ySplit="7" topLeftCell="P44" activePane="bottomRight" state="frozen"/>
      <selection pane="bottomRight" activeCell="E50" sqref="E50"/>
      <rowBreaks count="1" manualBreakCount="1">
        <brk id="44" max="19" man="1"/>
      </rowBreaks>
      <pageMargins left="0" right="0" top="0" bottom="0.5" header="0.19" footer="0.2"/>
      <printOptions verticalCentered="1"/>
      <pageSetup paperSize="17" scale="68" fitToHeight="2" orientation="landscape" cellComments="asDisplayed" r:id="rId2"/>
      <headerFooter alignWithMargins="0">
        <oddFooter>&amp;L&amp;A&amp;CDate Printed:  &amp;D                                                                 &amp;R&amp;P of &amp;N</oddFooter>
      </headerFooter>
    </customSheetView>
    <customSheetView guid="{B5815511-5174-4022-8727-E29AD76A8A57}" scale="75" showGridLines="0" printArea="1" hiddenRows="1">
      <pane xSplit="7" ySplit="7" topLeftCell="I8" activePane="bottomRight" state="frozen"/>
      <selection pane="bottomRight" activeCell="D79" sqref="D79"/>
      <rowBreaks count="1" manualBreakCount="1">
        <brk id="44" max="19" man="1"/>
      </rowBreaks>
      <pageMargins left="0" right="0" top="0" bottom="0.5" header="0.19" footer="0.2"/>
      <printOptions verticalCentered="1"/>
      <pageSetup paperSize="17" scale="68" fitToHeight="2" orientation="landscape" cellComments="asDisplayed" r:id="rId3"/>
      <headerFooter alignWithMargins="0">
        <oddFooter>&amp;L&amp;A&amp;CDate Printed:  &amp;D                                                                 &amp;R&amp;P of &amp;N</oddFooter>
      </headerFooter>
    </customSheetView>
    <customSheetView guid="{FC59C8CD-A934-4366-8337-D6B3831494AD}" showGridLines="0" hiddenRows="1">
      <pane xSplit="7" ySplit="7" topLeftCell="Q8" activePane="bottomRight" state="frozen"/>
      <selection pane="bottomRight" activeCell="V54" sqref="V54"/>
      <rowBreaks count="1" manualBreakCount="1">
        <brk id="44" max="19" man="1"/>
      </rowBreaks>
      <pageMargins left="0" right="0" top="0" bottom="0.5" header="0.19" footer="0.2"/>
      <printOptions verticalCentered="1"/>
      <pageSetup paperSize="17" scale="68" fitToHeight="2" orientation="landscape" cellComments="asDisplayed" r:id="rId4"/>
      <headerFooter alignWithMargins="0">
        <oddFooter>&amp;L&amp;A&amp;CDate Printed:  &amp;D                                                                 &amp;R&amp;P of &amp;N</oddFooter>
      </headerFooter>
    </customSheetView>
    <customSheetView guid="{6B6D6F50-27BD-4C38-A2D0-F8E35D15D656}" showGridLines="0" hiddenRows="1">
      <pane xSplit="7" ySplit="7" topLeftCell="P39" activePane="bottomRight" state="frozen"/>
      <selection pane="bottomRight" activeCell="R47" sqref="R47"/>
      <rowBreaks count="1" manualBreakCount="1">
        <brk id="44" max="19" man="1"/>
      </rowBreaks>
      <pageMargins left="0" right="0" top="0" bottom="0.5" header="0.19" footer="0.2"/>
      <printOptions verticalCentered="1"/>
      <pageSetup paperSize="17" scale="68" fitToHeight="2" orientation="landscape" cellComments="asDisplayed" r:id="rId5"/>
      <headerFooter alignWithMargins="0">
        <oddFooter>&amp;L&amp;A&amp;CDate Printed:  &amp;D                                                                 &amp;R&amp;P of &amp;N</oddFooter>
      </headerFooter>
    </customSheetView>
  </customSheetViews>
  <mergeCells count="17">
    <mergeCell ref="A82:G82"/>
    <mergeCell ref="A1:B1"/>
    <mergeCell ref="A24:B24"/>
    <mergeCell ref="A38:B38"/>
    <mergeCell ref="A40:B40"/>
    <mergeCell ref="A63:B63"/>
    <mergeCell ref="A7:B7"/>
    <mergeCell ref="A11:B11"/>
    <mergeCell ref="A46:B46"/>
    <mergeCell ref="H4:M4"/>
    <mergeCell ref="H5:N5"/>
    <mergeCell ref="D1:G1"/>
    <mergeCell ref="D8:D10"/>
    <mergeCell ref="E8:E10"/>
    <mergeCell ref="F8:F10"/>
    <mergeCell ref="G8:G10"/>
    <mergeCell ref="H1:O2"/>
  </mergeCells>
  <phoneticPr fontId="0" type="noConversion"/>
  <conditionalFormatting sqref="T1:T4 R5 T6:T65536">
    <cfRule type="expression" dxfId="3" priority="1" stopIfTrue="1">
      <formula>ISERROR(reference)</formula>
    </cfRule>
  </conditionalFormatting>
  <conditionalFormatting sqref="H11">
    <cfRule type="cellIs" dxfId="2" priority="2" stopIfTrue="1" operator="lessThanOrEqual">
      <formula>$H$84</formula>
    </cfRule>
  </conditionalFormatting>
  <conditionalFormatting sqref="H24">
    <cfRule type="cellIs" dxfId="1" priority="3" stopIfTrue="1" operator="lessThanOrEqual">
      <formula>$H$85</formula>
    </cfRule>
  </conditionalFormatting>
  <conditionalFormatting sqref="H38">
    <cfRule type="cellIs" dxfId="0" priority="4" stopIfTrue="1" operator="lessThanOrEqual">
      <formula>$H$85</formula>
    </cfRule>
  </conditionalFormatting>
  <dataValidations count="2">
    <dataValidation type="list" allowBlank="1" showInputMessage="1" showErrorMessage="1" sqref="A3:D3">
      <formula1>Select_Budget_Period</formula1>
    </dataValidation>
    <dataValidation type="list" allowBlank="1" showInputMessage="1" showErrorMessage="1" sqref="A2">
      <formula1>Select_AAA_Name</formula1>
    </dataValidation>
  </dataValidations>
  <printOptions verticalCentered="1"/>
  <pageMargins left="0" right="0" top="0" bottom="0.5" header="0.19" footer="0.2"/>
  <pageSetup paperSize="17" scale="68" fitToHeight="2" orientation="landscape" cellComments="asDisplayed" r:id="rId6"/>
  <headerFooter alignWithMargins="0">
    <oddFooter>&amp;L&amp;A&amp;CDate Printed:  &amp;D                                                                 &amp;R&amp;P of &amp;N</oddFooter>
  </headerFooter>
  <rowBreaks count="1" manualBreakCount="1">
    <brk id="44" max="19" man="1"/>
  </rowBreaks>
  <cellWatches>
    <cellWatch r="T8"/>
  </cellWatches>
  <ignoredErrors>
    <ignoredError sqref="T12:T23 T47:T77 T25 T39:T44 T81 T28:T37" evalError="1"/>
    <ignoredError sqref="N11 N46 N63 N24:N44" formula="1"/>
  </ignoredErrors>
  <legacyDrawing r:id="rId7"/>
</worksheet>
</file>

<file path=xl/worksheets/sheet3.xml><?xml version="1.0" encoding="utf-8"?>
<worksheet xmlns="http://schemas.openxmlformats.org/spreadsheetml/2006/main" xmlns:r="http://schemas.openxmlformats.org/officeDocument/2006/relationships">
  <sheetPr codeName="Sheet2">
    <tabColor indexed="45"/>
  </sheetPr>
  <dimension ref="A1:Q37"/>
  <sheetViews>
    <sheetView showGridLines="0" zoomScaleNormal="100" zoomScaleSheetLayoutView="75" workbookViewId="0">
      <selection activeCell="E13" sqref="E13"/>
    </sheetView>
  </sheetViews>
  <sheetFormatPr defaultColWidth="9.140625" defaultRowHeight="12.75"/>
  <cols>
    <col min="1" max="1" width="66.28515625" style="2" customWidth="1"/>
    <col min="2" max="9" width="16.7109375" style="2" customWidth="1"/>
    <col min="10" max="16384" width="9.140625" style="2"/>
  </cols>
  <sheetData>
    <row r="1" spans="1:17" ht="16.5" customHeight="1">
      <c r="A1" s="328" t="s">
        <v>284</v>
      </c>
      <c r="B1" s="328"/>
      <c r="C1" s="252"/>
      <c r="D1" s="252"/>
      <c r="E1" s="252"/>
      <c r="F1" s="253"/>
      <c r="G1" s="251"/>
      <c r="H1" s="251"/>
      <c r="I1" s="251"/>
      <c r="J1" s="1"/>
      <c r="K1" s="1"/>
      <c r="L1" s="1"/>
      <c r="M1" s="1"/>
      <c r="N1" s="1"/>
      <c r="O1" s="1"/>
      <c r="P1" s="1"/>
    </row>
    <row r="2" spans="1:17" ht="15.75">
      <c r="A2" s="121" t="str">
        <f>Budget!A2</f>
        <v>Multnomah County Aging, Disability &amp; Veterans Services Dept (MCADVSD)</v>
      </c>
      <c r="B2" s="254"/>
      <c r="C2" s="329"/>
      <c r="D2" s="253"/>
      <c r="E2" s="253"/>
      <c r="F2" s="253"/>
      <c r="G2" s="251"/>
      <c r="H2" s="251"/>
      <c r="I2" s="251"/>
      <c r="J2" s="1"/>
      <c r="K2" s="1"/>
      <c r="L2" s="1"/>
      <c r="M2" s="1"/>
      <c r="N2" s="1"/>
      <c r="O2" s="1"/>
      <c r="P2" s="1"/>
    </row>
    <row r="3" spans="1:17" ht="15.75" customHeight="1">
      <c r="A3" s="121" t="str">
        <f>Budget!A3:B3</f>
        <v>BUDGET PERIOD:  7.1.2016 - 6.30.2017  Area Plan Year 1</v>
      </c>
      <c r="B3" s="444" t="s">
        <v>186</v>
      </c>
      <c r="C3" s="445"/>
      <c r="D3" s="445"/>
      <c r="E3" s="445"/>
      <c r="F3" s="445"/>
      <c r="G3" s="315"/>
      <c r="H3" s="251"/>
      <c r="I3" s="251"/>
    </row>
    <row r="4" spans="1:17" ht="15.75">
      <c r="A4" s="121"/>
      <c r="B4" s="445"/>
      <c r="C4" s="445"/>
      <c r="D4" s="445"/>
      <c r="E4" s="445"/>
      <c r="F4" s="445"/>
      <c r="G4" s="315"/>
      <c r="H4" s="251"/>
      <c r="I4" s="251"/>
    </row>
    <row r="5" spans="1:17" ht="15.75">
      <c r="A5" s="255"/>
      <c r="B5" s="255"/>
      <c r="C5" s="251"/>
      <c r="D5" s="316"/>
      <c r="E5" s="316"/>
      <c r="F5" s="316"/>
      <c r="G5" s="316"/>
      <c r="H5" s="251"/>
      <c r="I5" s="251"/>
      <c r="J5" s="1"/>
      <c r="K5" s="1"/>
      <c r="L5" s="1"/>
      <c r="M5" s="1"/>
      <c r="N5" s="1"/>
      <c r="O5" s="1"/>
      <c r="P5" s="1"/>
      <c r="Q5" s="1"/>
    </row>
    <row r="6" spans="1:17" s="3" customFormat="1" ht="15">
      <c r="A6" s="130" t="s">
        <v>122</v>
      </c>
      <c r="B6" s="130" t="s">
        <v>123</v>
      </c>
      <c r="C6" s="130" t="s">
        <v>124</v>
      </c>
      <c r="D6" s="130" t="s">
        <v>125</v>
      </c>
      <c r="E6" s="130" t="s">
        <v>126</v>
      </c>
      <c r="F6" s="130" t="s">
        <v>127</v>
      </c>
      <c r="G6" s="130" t="s">
        <v>128</v>
      </c>
      <c r="H6" s="130" t="s">
        <v>129</v>
      </c>
      <c r="I6" s="130" t="s">
        <v>141</v>
      </c>
    </row>
    <row r="7" spans="1:17" ht="16.5" thickBot="1">
      <c r="A7" s="437" t="s">
        <v>232</v>
      </c>
      <c r="B7" s="240"/>
      <c r="C7" s="240"/>
      <c r="D7" s="240"/>
      <c r="E7" s="240"/>
      <c r="F7" s="240"/>
      <c r="G7" s="240"/>
      <c r="H7" s="240"/>
      <c r="I7" s="256"/>
    </row>
    <row r="8" spans="1:17" ht="38.25" customHeight="1" thickBot="1">
      <c r="A8" s="438"/>
      <c r="B8" s="126" t="s">
        <v>160</v>
      </c>
      <c r="C8" s="127" t="s">
        <v>165</v>
      </c>
      <c r="D8" s="126" t="s">
        <v>164</v>
      </c>
      <c r="E8" s="127" t="s">
        <v>166</v>
      </c>
      <c r="F8" s="126" t="s">
        <v>159</v>
      </c>
      <c r="G8" s="127" t="s">
        <v>167</v>
      </c>
      <c r="H8" s="128" t="s">
        <v>168</v>
      </c>
      <c r="I8" s="129" t="s">
        <v>157</v>
      </c>
    </row>
    <row r="9" spans="1:17" ht="21" customHeight="1">
      <c r="A9" s="115" t="s">
        <v>298</v>
      </c>
      <c r="B9" s="222">
        <f>1298952-1932</f>
        <v>1297020</v>
      </c>
      <c r="C9" s="223"/>
      <c r="D9" s="222">
        <f>5600955-208484+1932</f>
        <v>5394403</v>
      </c>
      <c r="E9" s="223"/>
      <c r="F9" s="222">
        <v>208484</v>
      </c>
      <c r="G9" s="223"/>
      <c r="H9" s="228">
        <f t="shared" ref="H9:H21" si="0">B9+D9+F9</f>
        <v>6899907</v>
      </c>
      <c r="I9" s="229">
        <f t="shared" ref="I9:I21" si="1">C9+E9+G9</f>
        <v>0</v>
      </c>
    </row>
    <row r="10" spans="1:17" ht="21" customHeight="1">
      <c r="A10" s="116" t="s">
        <v>300</v>
      </c>
      <c r="B10" s="224"/>
      <c r="C10" s="225"/>
      <c r="D10" s="224">
        <v>3000</v>
      </c>
      <c r="E10" s="225"/>
      <c r="F10" s="224"/>
      <c r="G10" s="225"/>
      <c r="H10" s="228">
        <f t="shared" si="0"/>
        <v>3000</v>
      </c>
      <c r="I10" s="229">
        <f t="shared" si="1"/>
        <v>0</v>
      </c>
    </row>
    <row r="11" spans="1:17" ht="21" customHeight="1">
      <c r="A11" s="116" t="s">
        <v>299</v>
      </c>
      <c r="B11" s="224"/>
      <c r="C11" s="225"/>
      <c r="D11" s="224">
        <v>1850</v>
      </c>
      <c r="E11" s="225"/>
      <c r="F11" s="224"/>
      <c r="G11" s="225"/>
      <c r="H11" s="228">
        <f t="shared" si="0"/>
        <v>1850</v>
      </c>
      <c r="I11" s="229">
        <f t="shared" si="1"/>
        <v>0</v>
      </c>
    </row>
    <row r="12" spans="1:17" ht="21" customHeight="1">
      <c r="A12" s="116" t="s">
        <v>301</v>
      </c>
      <c r="B12" s="224"/>
      <c r="C12" s="225"/>
      <c r="D12" s="224">
        <v>333773</v>
      </c>
      <c r="E12" s="225"/>
      <c r="F12" s="224"/>
      <c r="G12" s="225"/>
      <c r="H12" s="228">
        <f t="shared" si="0"/>
        <v>333773</v>
      </c>
      <c r="I12" s="229">
        <f t="shared" si="1"/>
        <v>0</v>
      </c>
    </row>
    <row r="13" spans="1:17" ht="21" customHeight="1">
      <c r="A13" s="116" t="s">
        <v>302</v>
      </c>
      <c r="B13" s="224"/>
      <c r="C13" s="225"/>
      <c r="D13" s="224"/>
      <c r="E13" s="225">
        <v>2829943</v>
      </c>
      <c r="F13" s="224"/>
      <c r="G13" s="225"/>
      <c r="H13" s="228">
        <f t="shared" si="0"/>
        <v>0</v>
      </c>
      <c r="I13" s="229">
        <f t="shared" si="1"/>
        <v>2829943</v>
      </c>
    </row>
    <row r="14" spans="1:17" ht="21" customHeight="1">
      <c r="A14" s="116" t="s">
        <v>307</v>
      </c>
      <c r="B14" s="224"/>
      <c r="C14" s="225"/>
      <c r="D14" s="224">
        <v>213227</v>
      </c>
      <c r="E14" s="225"/>
      <c r="F14" s="224"/>
      <c r="G14" s="225"/>
      <c r="H14" s="228">
        <f t="shared" si="0"/>
        <v>213227</v>
      </c>
      <c r="I14" s="229">
        <f t="shared" si="1"/>
        <v>0</v>
      </c>
    </row>
    <row r="15" spans="1:17" ht="21" customHeight="1">
      <c r="A15" s="116" t="s">
        <v>308</v>
      </c>
      <c r="B15" s="224"/>
      <c r="C15" s="225"/>
      <c r="D15" s="224">
        <f>290630+168492+48051+14757+18244</f>
        <v>540174</v>
      </c>
      <c r="E15" s="225"/>
      <c r="F15" s="224"/>
      <c r="G15" s="225"/>
      <c r="H15" s="228">
        <f t="shared" si="0"/>
        <v>540174</v>
      </c>
      <c r="I15" s="229">
        <f t="shared" si="1"/>
        <v>0</v>
      </c>
    </row>
    <row r="16" spans="1:17" ht="21" customHeight="1">
      <c r="A16" s="116"/>
      <c r="B16" s="224"/>
      <c r="C16" s="225"/>
      <c r="D16" s="224"/>
      <c r="E16" s="225"/>
      <c r="F16" s="224"/>
      <c r="G16" s="225"/>
      <c r="H16" s="228">
        <f t="shared" si="0"/>
        <v>0</v>
      </c>
      <c r="I16" s="229">
        <f t="shared" si="1"/>
        <v>0</v>
      </c>
    </row>
    <row r="17" spans="1:9" ht="21" customHeight="1">
      <c r="A17" s="116"/>
      <c r="B17" s="224"/>
      <c r="C17" s="225"/>
      <c r="D17" s="224"/>
      <c r="E17" s="225"/>
      <c r="F17" s="224"/>
      <c r="G17" s="225"/>
      <c r="H17" s="228">
        <f t="shared" si="0"/>
        <v>0</v>
      </c>
      <c r="I17" s="229">
        <f t="shared" si="1"/>
        <v>0</v>
      </c>
    </row>
    <row r="18" spans="1:9" ht="21" customHeight="1">
      <c r="A18" s="116"/>
      <c r="B18" s="224"/>
      <c r="C18" s="225"/>
      <c r="D18" s="224"/>
      <c r="E18" s="225"/>
      <c r="F18" s="224"/>
      <c r="G18" s="225"/>
      <c r="H18" s="228">
        <f t="shared" si="0"/>
        <v>0</v>
      </c>
      <c r="I18" s="229">
        <f t="shared" si="1"/>
        <v>0</v>
      </c>
    </row>
    <row r="19" spans="1:9" ht="21" customHeight="1">
      <c r="A19" s="116"/>
      <c r="B19" s="224"/>
      <c r="C19" s="225"/>
      <c r="D19" s="224"/>
      <c r="E19" s="225"/>
      <c r="F19" s="224"/>
      <c r="G19" s="225"/>
      <c r="H19" s="228">
        <f t="shared" si="0"/>
        <v>0</v>
      </c>
      <c r="I19" s="229">
        <f t="shared" si="1"/>
        <v>0</v>
      </c>
    </row>
    <row r="20" spans="1:9" ht="21" customHeight="1">
      <c r="A20" s="116"/>
      <c r="B20" s="224"/>
      <c r="C20" s="225"/>
      <c r="D20" s="224"/>
      <c r="E20" s="225"/>
      <c r="F20" s="224"/>
      <c r="G20" s="225"/>
      <c r="H20" s="228">
        <f t="shared" si="0"/>
        <v>0</v>
      </c>
      <c r="I20" s="229">
        <f t="shared" si="1"/>
        <v>0</v>
      </c>
    </row>
    <row r="21" spans="1:9" ht="21" customHeight="1" thickBot="1">
      <c r="A21" s="117"/>
      <c r="B21" s="226"/>
      <c r="C21" s="227"/>
      <c r="D21" s="226"/>
      <c r="E21" s="227"/>
      <c r="F21" s="226"/>
      <c r="G21" s="227"/>
      <c r="H21" s="228">
        <f t="shared" si="0"/>
        <v>0</v>
      </c>
      <c r="I21" s="229">
        <f t="shared" si="1"/>
        <v>0</v>
      </c>
    </row>
    <row r="22" spans="1:9" ht="21" customHeight="1" thickBot="1">
      <c r="A22" s="125" t="s">
        <v>121</v>
      </c>
      <c r="B22" s="230">
        <f>SUM(B9:B21)</f>
        <v>1297020</v>
      </c>
      <c r="C22" s="230">
        <f t="shared" ref="C22:I22" si="2">SUM(C9:C21)</f>
        <v>0</v>
      </c>
      <c r="D22" s="230">
        <f t="shared" si="2"/>
        <v>6486427</v>
      </c>
      <c r="E22" s="230">
        <f t="shared" si="2"/>
        <v>2829943</v>
      </c>
      <c r="F22" s="230">
        <f t="shared" si="2"/>
        <v>208484</v>
      </c>
      <c r="G22" s="230">
        <f t="shared" si="2"/>
        <v>0</v>
      </c>
      <c r="H22" s="230">
        <f t="shared" si="2"/>
        <v>7991931</v>
      </c>
      <c r="I22" s="230">
        <f t="shared" si="2"/>
        <v>2829943</v>
      </c>
    </row>
    <row r="23" spans="1:9" ht="15">
      <c r="A23" s="118"/>
      <c r="B23" s="118"/>
      <c r="C23" s="118"/>
      <c r="D23" s="118"/>
      <c r="E23" s="118"/>
      <c r="F23" s="118"/>
      <c r="G23" s="118"/>
      <c r="H23" s="118"/>
      <c r="I23" s="118"/>
    </row>
    <row r="24" spans="1:9" ht="15">
      <c r="A24" s="118"/>
      <c r="B24" s="118"/>
      <c r="C24" s="118"/>
      <c r="D24" s="118"/>
      <c r="E24" s="118"/>
      <c r="F24" s="118"/>
      <c r="G24" s="118"/>
      <c r="H24" s="118"/>
      <c r="I24" s="118"/>
    </row>
    <row r="25" spans="1:9" s="4" customFormat="1" ht="18" customHeight="1">
      <c r="A25" s="130" t="s">
        <v>142</v>
      </c>
      <c r="B25" s="130" t="s">
        <v>143</v>
      </c>
      <c r="C25" s="119"/>
      <c r="D25" s="446" t="s">
        <v>187</v>
      </c>
      <c r="E25" s="447"/>
      <c r="F25" s="119"/>
      <c r="G25" s="119"/>
      <c r="H25" s="119"/>
      <c r="I25" s="119"/>
    </row>
    <row r="26" spans="1:9" ht="18" customHeight="1" thickBot="1">
      <c r="A26" s="439" t="s">
        <v>206</v>
      </c>
      <c r="B26" s="194"/>
      <c r="C26" s="118"/>
      <c r="D26" s="441"/>
      <c r="E26" s="442"/>
      <c r="F26" s="442"/>
      <c r="G26" s="442"/>
      <c r="H26" s="443"/>
      <c r="I26" s="118"/>
    </row>
    <row r="27" spans="1:9" ht="18" customHeight="1" thickBot="1">
      <c r="A27" s="440"/>
      <c r="B27" s="218" t="s">
        <v>120</v>
      </c>
      <c r="C27" s="118"/>
      <c r="D27" s="441"/>
      <c r="E27" s="442"/>
      <c r="F27" s="442"/>
      <c r="G27" s="442"/>
      <c r="H27" s="443"/>
      <c r="I27" s="118"/>
    </row>
    <row r="28" spans="1:9" ht="21" customHeight="1">
      <c r="A28" s="115"/>
      <c r="B28" s="219"/>
      <c r="C28" s="118"/>
      <c r="D28" s="441"/>
      <c r="E28" s="442"/>
      <c r="F28" s="442"/>
      <c r="G28" s="442"/>
      <c r="H28" s="443"/>
      <c r="I28" s="118"/>
    </row>
    <row r="29" spans="1:9" ht="21" customHeight="1">
      <c r="A29" s="116" t="s">
        <v>303</v>
      </c>
      <c r="B29" s="220">
        <f>2132531+80379+98427+144641+211634+86813</f>
        <v>2754425</v>
      </c>
      <c r="C29" s="118"/>
      <c r="D29" s="441"/>
      <c r="E29" s="442"/>
      <c r="F29" s="442"/>
      <c r="G29" s="442"/>
      <c r="H29" s="443"/>
      <c r="I29" s="118"/>
    </row>
    <row r="30" spans="1:9" ht="21" customHeight="1">
      <c r="A30" s="116" t="s">
        <v>304</v>
      </c>
      <c r="B30" s="220">
        <v>269400</v>
      </c>
      <c r="C30" s="118"/>
      <c r="D30" s="441"/>
      <c r="E30" s="442"/>
      <c r="F30" s="442"/>
      <c r="G30" s="442"/>
      <c r="H30" s="443"/>
      <c r="I30" s="118"/>
    </row>
    <row r="31" spans="1:9" ht="21" customHeight="1">
      <c r="A31" s="116" t="s">
        <v>305</v>
      </c>
      <c r="B31" s="220">
        <v>100000</v>
      </c>
      <c r="C31" s="118"/>
      <c r="D31" s="441"/>
      <c r="E31" s="442"/>
      <c r="F31" s="442"/>
      <c r="G31" s="442"/>
      <c r="H31" s="443"/>
      <c r="I31" s="118"/>
    </row>
    <row r="32" spans="1:9" ht="21" customHeight="1">
      <c r="A32" s="116"/>
      <c r="B32" s="220"/>
      <c r="C32" s="118"/>
      <c r="D32" s="441"/>
      <c r="E32" s="442"/>
      <c r="F32" s="442"/>
      <c r="G32" s="442"/>
      <c r="H32" s="443"/>
      <c r="I32" s="118"/>
    </row>
    <row r="33" spans="1:9" ht="21" customHeight="1">
      <c r="A33" s="116"/>
      <c r="B33" s="220"/>
      <c r="C33" s="118"/>
      <c r="D33" s="441"/>
      <c r="E33" s="442"/>
      <c r="F33" s="442"/>
      <c r="G33" s="442"/>
      <c r="H33" s="443"/>
      <c r="I33" s="118"/>
    </row>
    <row r="34" spans="1:9" ht="21" customHeight="1">
      <c r="A34" s="116"/>
      <c r="B34" s="220"/>
      <c r="C34" s="118"/>
      <c r="D34" s="441"/>
      <c r="E34" s="442"/>
      <c r="F34" s="442"/>
      <c r="G34" s="442"/>
      <c r="H34" s="443"/>
      <c r="I34" s="118"/>
    </row>
    <row r="35" spans="1:9" ht="21" customHeight="1" thickBot="1">
      <c r="A35" s="116"/>
      <c r="B35" s="220"/>
      <c r="C35" s="118"/>
      <c r="D35" s="441"/>
      <c r="E35" s="442"/>
      <c r="F35" s="442"/>
      <c r="G35" s="442"/>
      <c r="H35" s="443"/>
      <c r="I35" s="118"/>
    </row>
    <row r="36" spans="1:9" ht="21" customHeight="1" thickBot="1">
      <c r="A36" s="125" t="s">
        <v>121</v>
      </c>
      <c r="B36" s="221">
        <f>SUM(B28:B35)</f>
        <v>3123825</v>
      </c>
      <c r="C36" s="118"/>
      <c r="D36" s="118"/>
      <c r="E36" s="118"/>
      <c r="F36" s="118"/>
      <c r="G36" s="118"/>
      <c r="H36" s="118"/>
      <c r="I36" s="118"/>
    </row>
    <row r="37" spans="1:9" ht="15">
      <c r="A37" s="118"/>
      <c r="B37" s="118"/>
      <c r="C37" s="118"/>
      <c r="D37" s="118"/>
      <c r="E37" s="118"/>
      <c r="F37" s="118"/>
      <c r="G37" s="118"/>
      <c r="H37" s="118"/>
      <c r="I37" s="118"/>
    </row>
  </sheetData>
  <sheetProtection password="CDB2" sheet="1" selectLockedCells="1"/>
  <protectedRanges>
    <protectedRange sqref="A2:B2" name="Range2"/>
    <protectedRange sqref="A9:G21 A28:B35" name="Range1"/>
  </protectedRanges>
  <customSheetViews>
    <customSheetView guid="{AB1FFAD6-1D3B-42E3-A3A7-9220125B4B05}" showGridLines="0">
      <selection activeCell="E13" sqref="E13"/>
      <rowBreaks count="1" manualBreakCount="1">
        <brk id="37" max="16383" man="1"/>
      </rowBreaks>
      <pageMargins left="0" right="0" top="0" bottom="0.5" header="0.19" footer="0.2"/>
      <printOptions horizontalCentered="1" verticalCentered="1"/>
      <pageSetup scale="68" orientation="landscape" r:id="rId1"/>
      <headerFooter alignWithMargins="0">
        <oddFooter>&amp;L&amp;A&amp;CDate Printed:  &amp;D                                                                 &amp;R&amp;P of &amp;N</oddFooter>
      </headerFooter>
    </customSheetView>
    <customSheetView guid="{91A667C6-F252-4792-89C6-D1CF90C6139A}" showGridLines="0">
      <selection activeCell="E13" sqref="E13"/>
      <rowBreaks count="1" manualBreakCount="1">
        <brk id="37" max="16383" man="1"/>
      </rowBreaks>
      <pageMargins left="0" right="0" top="0" bottom="0.5" header="0.19" footer="0.2"/>
      <printOptions horizontalCentered="1" verticalCentered="1"/>
      <pageSetup scale="68" orientation="landscape" r:id="rId2"/>
      <headerFooter alignWithMargins="0">
        <oddFooter>&amp;L&amp;A&amp;CDate Printed:  &amp;D                                                                 &amp;R&amp;P of &amp;N</oddFooter>
      </headerFooter>
    </customSheetView>
    <customSheetView guid="{B5815511-5174-4022-8727-E29AD76A8A57}" showGridLines="0">
      <selection activeCell="E13" sqref="E13"/>
      <rowBreaks count="1" manualBreakCount="1">
        <brk id="37" max="16383" man="1"/>
      </rowBreaks>
      <pageMargins left="0" right="0" top="0" bottom="0.5" header="0.19" footer="0.2"/>
      <printOptions horizontalCentered="1" verticalCentered="1"/>
      <pageSetup scale="68" orientation="landscape" r:id="rId3"/>
      <headerFooter alignWithMargins="0">
        <oddFooter>&amp;L&amp;A&amp;CDate Printed:  &amp;D                                                                 &amp;R&amp;P of &amp;N</oddFooter>
      </headerFooter>
    </customSheetView>
    <customSheetView guid="{FC59C8CD-A934-4366-8337-D6B3831494AD}" showGridLines="0">
      <selection activeCell="E13" sqref="E13"/>
      <rowBreaks count="1" manualBreakCount="1">
        <brk id="37" max="16383" man="1"/>
      </rowBreaks>
      <pageMargins left="0" right="0" top="0" bottom="0.5" header="0.19" footer="0.2"/>
      <printOptions horizontalCentered="1" verticalCentered="1"/>
      <pageSetup scale="68" orientation="landscape" r:id="rId4"/>
      <headerFooter alignWithMargins="0">
        <oddFooter>&amp;L&amp;A&amp;CDate Printed:  &amp;D                                                                 &amp;R&amp;P of &amp;N</oddFooter>
      </headerFooter>
    </customSheetView>
    <customSheetView guid="{6B6D6F50-27BD-4C38-A2D0-F8E35D15D656}" showGridLines="0">
      <selection activeCell="E13" sqref="E13"/>
      <rowBreaks count="1" manualBreakCount="1">
        <brk id="37" max="16383" man="1"/>
      </rowBreaks>
      <pageMargins left="0" right="0" top="0" bottom="0.5" header="0.19" footer="0.2"/>
      <printOptions horizontalCentered="1" verticalCentered="1"/>
      <pageSetup scale="68" orientation="landscape" r:id="rId5"/>
      <headerFooter alignWithMargins="0">
        <oddFooter>&amp;L&amp;A&amp;CDate Printed:  &amp;D                                                                 &amp;R&amp;P of &amp;N</oddFooter>
      </headerFooter>
    </customSheetView>
  </customSheetViews>
  <mergeCells count="14">
    <mergeCell ref="D35:H35"/>
    <mergeCell ref="B3:F4"/>
    <mergeCell ref="D26:H26"/>
    <mergeCell ref="D27:H27"/>
    <mergeCell ref="D28:H28"/>
    <mergeCell ref="D29:H29"/>
    <mergeCell ref="D30:H30"/>
    <mergeCell ref="D25:E25"/>
    <mergeCell ref="D34:H34"/>
    <mergeCell ref="A7:A8"/>
    <mergeCell ref="A26:A27"/>
    <mergeCell ref="D31:H31"/>
    <mergeCell ref="D32:H32"/>
    <mergeCell ref="D33:H33"/>
  </mergeCells>
  <phoneticPr fontId="4" type="noConversion"/>
  <printOptions horizontalCentered="1" verticalCentered="1"/>
  <pageMargins left="0" right="0" top="0" bottom="0.5" header="0.19" footer="0.2"/>
  <pageSetup scale="68" orientation="landscape" r:id="rId6"/>
  <headerFooter alignWithMargins="0">
    <oddFooter>&amp;L&amp;A&amp;CDate Printed:  &amp;D                                                                 &amp;R&amp;P of &amp;N</odd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sheetPr codeName="Sheet3">
    <tabColor indexed="44"/>
  </sheetPr>
  <dimension ref="A1:O39"/>
  <sheetViews>
    <sheetView zoomScaleNormal="100" zoomScaleSheetLayoutView="75" workbookViewId="0">
      <selection activeCell="L30" sqref="L30"/>
    </sheetView>
  </sheetViews>
  <sheetFormatPr defaultColWidth="9.140625" defaultRowHeight="15"/>
  <cols>
    <col min="1" max="1" width="41.5703125" style="120" customWidth="1"/>
    <col min="2" max="2" width="10.28515625" style="120" customWidth="1"/>
    <col min="3" max="4" width="14.7109375" style="120" customWidth="1"/>
    <col min="5" max="5" width="18.28515625" style="120" customWidth="1"/>
    <col min="6" max="12" width="14.7109375" style="120" customWidth="1"/>
    <col min="13" max="16384" width="9.140625" style="120"/>
  </cols>
  <sheetData>
    <row r="1" spans="1:15" s="335" customFormat="1" ht="16.5" customHeight="1">
      <c r="A1" s="448" t="s">
        <v>285</v>
      </c>
      <c r="B1" s="448"/>
      <c r="C1" s="246"/>
      <c r="D1" s="454" t="s">
        <v>261</v>
      </c>
      <c r="E1" s="445"/>
      <c r="F1" s="445"/>
      <c r="G1" s="445"/>
      <c r="H1" s="445"/>
      <c r="I1" s="445"/>
      <c r="J1" s="248"/>
      <c r="K1" s="248"/>
      <c r="L1" s="248"/>
    </row>
    <row r="2" spans="1:15" ht="15.75" customHeight="1">
      <c r="A2" s="121" t="str">
        <f>Budget!A2</f>
        <v>Multnomah County Aging, Disability &amp; Veterans Services Dept (MCADVSD)</v>
      </c>
      <c r="B2" s="247"/>
      <c r="C2" s="247"/>
      <c r="D2" s="445"/>
      <c r="E2" s="445"/>
      <c r="F2" s="445"/>
      <c r="G2" s="445"/>
      <c r="H2" s="445"/>
      <c r="I2" s="445"/>
      <c r="J2" s="248"/>
      <c r="K2" s="248"/>
      <c r="L2" s="248"/>
      <c r="M2" s="335"/>
      <c r="N2" s="335"/>
      <c r="O2" s="335"/>
    </row>
    <row r="3" spans="1:15" ht="15.75">
      <c r="A3" s="449" t="str">
        <f>Budget!A3:B3</f>
        <v>BUDGET PERIOD:  7.1.2016 - 6.30.2017  Area Plan Year 1</v>
      </c>
      <c r="B3" s="449"/>
      <c r="C3" s="450"/>
      <c r="D3" s="250"/>
      <c r="E3" s="251"/>
      <c r="F3" s="140"/>
      <c r="G3" s="140"/>
      <c r="H3" s="140"/>
      <c r="I3" s="140"/>
      <c r="J3" s="140"/>
      <c r="K3" s="140"/>
      <c r="L3" s="140"/>
    </row>
    <row r="4" spans="1:15" ht="15.75">
      <c r="A4" s="121"/>
      <c r="B4" s="121"/>
      <c r="C4" s="249"/>
      <c r="D4" s="250"/>
      <c r="E4" s="251"/>
      <c r="F4" s="140"/>
      <c r="G4" s="140"/>
      <c r="H4" s="140"/>
      <c r="I4" s="140"/>
      <c r="J4" s="140"/>
      <c r="K4" s="140"/>
      <c r="L4" s="140"/>
    </row>
    <row r="5" spans="1:15" s="133" customFormat="1" ht="15.75">
      <c r="A5" s="143" t="s">
        <v>189</v>
      </c>
      <c r="B5" s="135"/>
      <c r="C5" s="135"/>
      <c r="D5" s="135"/>
      <c r="E5" s="135"/>
      <c r="F5" s="451" t="s">
        <v>190</v>
      </c>
      <c r="G5" s="452"/>
      <c r="H5" s="452"/>
      <c r="I5" s="452"/>
      <c r="J5" s="452"/>
      <c r="K5" s="453"/>
      <c r="L5" s="136"/>
    </row>
    <row r="6" spans="1:15" s="140" customFormat="1">
      <c r="A6" s="138" t="s">
        <v>122</v>
      </c>
      <c r="B6" s="138" t="s">
        <v>123</v>
      </c>
      <c r="C6" s="138" t="s">
        <v>124</v>
      </c>
      <c r="D6" s="138" t="s">
        <v>125</v>
      </c>
      <c r="E6" s="144" t="s">
        <v>126</v>
      </c>
      <c r="F6" s="138" t="s">
        <v>127</v>
      </c>
      <c r="G6" s="138" t="s">
        <v>128</v>
      </c>
      <c r="H6" s="138" t="s">
        <v>129</v>
      </c>
      <c r="I6" s="138" t="s">
        <v>141</v>
      </c>
      <c r="J6" s="138" t="s">
        <v>142</v>
      </c>
      <c r="K6" s="138" t="s">
        <v>143</v>
      </c>
      <c r="L6" s="139" t="s">
        <v>144</v>
      </c>
    </row>
    <row r="7" spans="1:15" s="142" customFormat="1" ht="63">
      <c r="A7" s="141" t="s">
        <v>172</v>
      </c>
      <c r="B7" s="141" t="s">
        <v>149</v>
      </c>
      <c r="C7" s="141" t="s">
        <v>135</v>
      </c>
      <c r="D7" s="141" t="s">
        <v>136</v>
      </c>
      <c r="E7" s="145" t="s">
        <v>237</v>
      </c>
      <c r="F7" s="141" t="s">
        <v>137</v>
      </c>
      <c r="G7" s="141" t="s">
        <v>138</v>
      </c>
      <c r="H7" s="141" t="s">
        <v>139</v>
      </c>
      <c r="I7" s="141" t="s">
        <v>132</v>
      </c>
      <c r="J7" s="141" t="s">
        <v>133</v>
      </c>
      <c r="K7" s="141" t="s">
        <v>134</v>
      </c>
      <c r="L7" s="141" t="s">
        <v>140</v>
      </c>
    </row>
    <row r="8" spans="1:15" ht="15.75">
      <c r="A8" s="356" t="s">
        <v>191</v>
      </c>
      <c r="B8" s="360">
        <v>49</v>
      </c>
      <c r="C8" s="357">
        <v>1947693</v>
      </c>
      <c r="D8" s="358">
        <v>1498137</v>
      </c>
      <c r="E8" s="150">
        <f t="shared" ref="E8:E15" si="0">SUM(C8:D8)</f>
        <v>3445830</v>
      </c>
      <c r="F8" s="368">
        <v>2096.0699999999997</v>
      </c>
      <c r="G8" s="368">
        <v>81195.260000000009</v>
      </c>
      <c r="H8" s="368">
        <v>267390.07</v>
      </c>
      <c r="I8" s="368">
        <v>2664665</v>
      </c>
      <c r="J8" s="366">
        <v>215241.87924432868</v>
      </c>
      <c r="K8" s="366">
        <v>215241</v>
      </c>
      <c r="L8" s="149">
        <f>SUM(F8:K8)</f>
        <v>3445829.2792443284</v>
      </c>
    </row>
    <row r="9" spans="1:15" ht="15.75">
      <c r="A9" s="356" t="s">
        <v>327</v>
      </c>
      <c r="B9" s="360">
        <v>17.399999999999999</v>
      </c>
      <c r="C9" s="358">
        <v>1024567</v>
      </c>
      <c r="D9" s="355">
        <v>673643</v>
      </c>
      <c r="E9" s="150">
        <f t="shared" si="0"/>
        <v>1698210</v>
      </c>
      <c r="F9" s="355">
        <v>115859.67</v>
      </c>
      <c r="G9" s="355"/>
      <c r="H9" s="366">
        <v>526262.29</v>
      </c>
      <c r="I9" s="366">
        <v>696679</v>
      </c>
      <c r="J9" s="366">
        <v>179704.75634935373</v>
      </c>
      <c r="K9" s="366">
        <v>179704.75634935373</v>
      </c>
      <c r="L9" s="149">
        <f t="shared" ref="L9:L15" si="1">SUM(F9:K9)</f>
        <v>1698210.4726987076</v>
      </c>
    </row>
    <row r="10" spans="1:15" ht="15.75">
      <c r="A10" s="356" t="s">
        <v>323</v>
      </c>
      <c r="B10" s="360">
        <v>2</v>
      </c>
      <c r="C10" s="358">
        <v>142532</v>
      </c>
      <c r="D10" s="358">
        <v>84819</v>
      </c>
      <c r="E10" s="150">
        <f t="shared" si="0"/>
        <v>227351</v>
      </c>
      <c r="F10" s="366"/>
      <c r="G10" s="367">
        <v>55316</v>
      </c>
      <c r="H10" s="367">
        <v>57650.38</v>
      </c>
      <c r="I10" s="367">
        <v>96814</v>
      </c>
      <c r="J10" s="366">
        <v>8785.3828262991301</v>
      </c>
      <c r="K10" s="366">
        <v>8785.3828262991301</v>
      </c>
      <c r="L10" s="149">
        <f t="shared" si="1"/>
        <v>227351.14565259824</v>
      </c>
    </row>
    <row r="11" spans="1:15" ht="15.75">
      <c r="A11" s="356" t="s">
        <v>322</v>
      </c>
      <c r="B11" s="361">
        <v>18</v>
      </c>
      <c r="C11" s="359">
        <v>1379102</v>
      </c>
      <c r="D11" s="358">
        <v>853768</v>
      </c>
      <c r="E11" s="150">
        <f t="shared" si="0"/>
        <v>2232870</v>
      </c>
      <c r="F11" s="355"/>
      <c r="G11" s="355"/>
      <c r="H11" s="368">
        <v>257871.96</v>
      </c>
      <c r="I11" s="367">
        <v>1822132</v>
      </c>
      <c r="J11" s="366">
        <v>76432.830588802419</v>
      </c>
      <c r="K11" s="366">
        <v>76432.830588802419</v>
      </c>
      <c r="L11" s="149">
        <f t="shared" si="1"/>
        <v>2232869.6211776044</v>
      </c>
    </row>
    <row r="12" spans="1:15" ht="15.75">
      <c r="A12" s="356" t="s">
        <v>194</v>
      </c>
      <c r="B12" s="361">
        <v>10</v>
      </c>
      <c r="C12" s="357">
        <v>956405</v>
      </c>
      <c r="D12" s="358">
        <v>562232</v>
      </c>
      <c r="E12" s="148">
        <f t="shared" si="0"/>
        <v>1518637</v>
      </c>
      <c r="F12" s="369">
        <v>17628.22</v>
      </c>
      <c r="G12" s="355"/>
      <c r="H12" s="370">
        <v>146657.85999999999</v>
      </c>
      <c r="I12" s="367">
        <v>1266497</v>
      </c>
      <c r="J12" s="366">
        <v>43926.914131495651</v>
      </c>
      <c r="K12" s="366">
        <v>43926.914131495651</v>
      </c>
      <c r="L12" s="149">
        <f t="shared" si="1"/>
        <v>1518636.9082629913</v>
      </c>
    </row>
    <row r="13" spans="1:15" ht="15.75">
      <c r="A13" s="356" t="s">
        <v>214</v>
      </c>
      <c r="B13" s="361">
        <v>2</v>
      </c>
      <c r="C13" s="357">
        <v>227354</v>
      </c>
      <c r="D13" s="358">
        <v>130288</v>
      </c>
      <c r="E13" s="148">
        <f t="shared" si="0"/>
        <v>357642</v>
      </c>
      <c r="F13" s="355"/>
      <c r="G13" s="355"/>
      <c r="H13" s="371">
        <v>8941.0500000000011</v>
      </c>
      <c r="I13" s="371">
        <v>339916</v>
      </c>
      <c r="J13" s="366">
        <v>4392.6914131495651</v>
      </c>
      <c r="K13" s="366">
        <v>4392.6914131495651</v>
      </c>
      <c r="L13" s="149">
        <f t="shared" si="1"/>
        <v>357642.43282629916</v>
      </c>
    </row>
    <row r="14" spans="1:15" ht="15.75">
      <c r="A14" s="356" t="s">
        <v>215</v>
      </c>
      <c r="B14" s="361">
        <v>1</v>
      </c>
      <c r="C14" s="357">
        <v>113677</v>
      </c>
      <c r="D14" s="358">
        <v>65144</v>
      </c>
      <c r="E14" s="148">
        <f t="shared" si="0"/>
        <v>178821</v>
      </c>
      <c r="F14" s="368">
        <v>134115.75</v>
      </c>
      <c r="G14" s="355"/>
      <c r="H14" s="372">
        <v>44705.25</v>
      </c>
      <c r="I14" s="355"/>
      <c r="J14" s="366"/>
      <c r="K14" s="366"/>
      <c r="L14" s="149">
        <f t="shared" si="1"/>
        <v>178821</v>
      </c>
    </row>
    <row r="15" spans="1:15" ht="15.75">
      <c r="A15" s="122"/>
      <c r="B15" s="146"/>
      <c r="C15" s="232"/>
      <c r="D15" s="232"/>
      <c r="E15" s="148">
        <f t="shared" si="0"/>
        <v>0</v>
      </c>
      <c r="F15" s="355"/>
      <c r="G15" s="355"/>
      <c r="H15" s="355"/>
      <c r="I15" s="355"/>
      <c r="J15" s="366">
        <v>0</v>
      </c>
      <c r="K15" s="366">
        <v>0</v>
      </c>
      <c r="L15" s="149">
        <f t="shared" si="1"/>
        <v>0</v>
      </c>
    </row>
    <row r="16" spans="1:15" s="137" customFormat="1" ht="15.75">
      <c r="A16" s="132" t="s">
        <v>257</v>
      </c>
      <c r="B16" s="151">
        <f>SUM(B8:B15)</f>
        <v>99.4</v>
      </c>
      <c r="C16" s="147">
        <f t="shared" ref="C16:K16" si="2">SUM(C8:C15)</f>
        <v>5791330</v>
      </c>
      <c r="D16" s="147">
        <f t="shared" si="2"/>
        <v>3868031</v>
      </c>
      <c r="E16" s="147">
        <f t="shared" si="2"/>
        <v>9659361</v>
      </c>
      <c r="F16" s="147">
        <f t="shared" si="2"/>
        <v>269699.70999999996</v>
      </c>
      <c r="G16" s="147">
        <f t="shared" si="2"/>
        <v>136511.26</v>
      </c>
      <c r="H16" s="147">
        <f t="shared" si="2"/>
        <v>1309478.8600000001</v>
      </c>
      <c r="I16" s="147">
        <f t="shared" si="2"/>
        <v>6886703</v>
      </c>
      <c r="J16" s="147">
        <f t="shared" si="2"/>
        <v>528484.45455342915</v>
      </c>
      <c r="K16" s="147">
        <f t="shared" si="2"/>
        <v>528483.57530910044</v>
      </c>
      <c r="L16" s="147">
        <f>SUM(L8:L15)</f>
        <v>9659360.8598625287</v>
      </c>
    </row>
    <row r="17" spans="1:12">
      <c r="A17" s="123"/>
      <c r="B17" s="14"/>
      <c r="C17" s="14"/>
      <c r="D17" s="14"/>
      <c r="E17" s="14"/>
      <c r="F17" s="14"/>
      <c r="G17" s="14"/>
      <c r="H17" s="14"/>
      <c r="I17" s="14"/>
      <c r="J17" s="14"/>
      <c r="K17" s="14"/>
      <c r="L17" s="14"/>
    </row>
    <row r="18" spans="1:12" s="133" customFormat="1" ht="15.75">
      <c r="A18" s="134" t="s">
        <v>188</v>
      </c>
      <c r="B18" s="135"/>
      <c r="C18" s="135"/>
      <c r="D18" s="135"/>
      <c r="E18" s="135"/>
      <c r="F18" s="451" t="s">
        <v>190</v>
      </c>
      <c r="G18" s="452"/>
      <c r="H18" s="452"/>
      <c r="I18" s="452"/>
      <c r="J18" s="452"/>
      <c r="K18" s="453"/>
      <c r="L18" s="136"/>
    </row>
    <row r="19" spans="1:12" s="142" customFormat="1" ht="63">
      <c r="A19" s="141" t="s">
        <v>172</v>
      </c>
      <c r="B19" s="141" t="s">
        <v>149</v>
      </c>
      <c r="C19" s="141" t="s">
        <v>135</v>
      </c>
      <c r="D19" s="141" t="s">
        <v>136</v>
      </c>
      <c r="E19" s="141" t="s">
        <v>238</v>
      </c>
      <c r="F19" s="141" t="s">
        <v>137</v>
      </c>
      <c r="G19" s="141" t="s">
        <v>138</v>
      </c>
      <c r="H19" s="141" t="s">
        <v>139</v>
      </c>
      <c r="I19" s="141" t="s">
        <v>132</v>
      </c>
      <c r="J19" s="141" t="s">
        <v>133</v>
      </c>
      <c r="K19" s="141" t="s">
        <v>134</v>
      </c>
      <c r="L19" s="141" t="s">
        <v>140</v>
      </c>
    </row>
    <row r="20" spans="1:12" s="142" customFormat="1" ht="15.75">
      <c r="A20" s="362" t="s">
        <v>328</v>
      </c>
      <c r="B20" s="365">
        <v>31</v>
      </c>
      <c r="C20" s="363">
        <v>1995730</v>
      </c>
      <c r="D20" s="363">
        <v>1288436</v>
      </c>
      <c r="E20" s="148">
        <f>SUM(C20:D20)</f>
        <v>3284166</v>
      </c>
      <c r="F20" s="363"/>
      <c r="G20" s="363"/>
      <c r="H20" s="363">
        <v>179172.87</v>
      </c>
      <c r="I20" s="363">
        <v>2832646</v>
      </c>
      <c r="J20" s="366">
        <v>136173.43380763652</v>
      </c>
      <c r="K20" s="366">
        <v>136173</v>
      </c>
      <c r="L20" s="149">
        <f>SUM(F20:K20)</f>
        <v>3284165.3038076367</v>
      </c>
    </row>
    <row r="21" spans="1:12" s="142" customFormat="1" ht="15.75">
      <c r="A21" s="362" t="s">
        <v>288</v>
      </c>
      <c r="B21" s="365">
        <v>22</v>
      </c>
      <c r="C21" s="363">
        <v>917667</v>
      </c>
      <c r="D21" s="363">
        <v>693981</v>
      </c>
      <c r="E21" s="148">
        <f t="shared" ref="E21:E26" si="3">SUM(C21:D21)</f>
        <v>1611648</v>
      </c>
      <c r="F21" s="363"/>
      <c r="G21" s="363"/>
      <c r="H21" s="363">
        <v>65550</v>
      </c>
      <c r="I21" s="363">
        <v>1352820</v>
      </c>
      <c r="J21" s="366">
        <v>96639.211089290431</v>
      </c>
      <c r="K21" s="366">
        <v>96639.211089290431</v>
      </c>
      <c r="L21" s="149">
        <f t="shared" ref="L21:L26" si="4">SUM(F21:K21)</f>
        <v>1611648.4221785809</v>
      </c>
    </row>
    <row r="22" spans="1:12" s="142" customFormat="1" ht="15.75">
      <c r="A22" s="362" t="s">
        <v>292</v>
      </c>
      <c r="B22" s="365">
        <v>155.69999999999999</v>
      </c>
      <c r="C22" s="363">
        <v>8802729</v>
      </c>
      <c r="D22" s="363">
        <v>5828673</v>
      </c>
      <c r="E22" s="148">
        <f t="shared" si="3"/>
        <v>14631402</v>
      </c>
      <c r="F22" s="363">
        <v>240956</v>
      </c>
      <c r="G22" s="363">
        <v>45209</v>
      </c>
      <c r="H22" s="363">
        <v>1437629</v>
      </c>
      <c r="I22" s="363">
        <v>11460691</v>
      </c>
      <c r="J22" s="366">
        <v>784938.59596163942</v>
      </c>
      <c r="K22" s="366">
        <v>661978.59596163942</v>
      </c>
      <c r="L22" s="149">
        <f t="shared" si="4"/>
        <v>14631402.191923279</v>
      </c>
    </row>
    <row r="23" spans="1:12" s="142" customFormat="1" ht="15.75">
      <c r="A23" s="362" t="s">
        <v>192</v>
      </c>
      <c r="B23" s="365">
        <v>70</v>
      </c>
      <c r="C23" s="363">
        <v>3260184</v>
      </c>
      <c r="D23" s="363">
        <v>2317207</v>
      </c>
      <c r="E23" s="148">
        <f t="shared" si="3"/>
        <v>5577391</v>
      </c>
      <c r="F23" s="363"/>
      <c r="G23" s="363"/>
      <c r="H23" s="363"/>
      <c r="I23" s="363">
        <v>4962414</v>
      </c>
      <c r="J23" s="366">
        <v>307488.39892046957</v>
      </c>
      <c r="K23" s="366">
        <v>307488.39892046957</v>
      </c>
      <c r="L23" s="149">
        <f t="shared" si="4"/>
        <v>5577390.7978409398</v>
      </c>
    </row>
    <row r="24" spans="1:12" s="142" customFormat="1" ht="15.75">
      <c r="A24" s="364" t="s">
        <v>329</v>
      </c>
      <c r="B24" s="365">
        <v>4.4000000000000004</v>
      </c>
      <c r="C24" s="363">
        <v>358443</v>
      </c>
      <c r="D24" s="363">
        <v>218700</v>
      </c>
      <c r="E24" s="148">
        <f t="shared" si="3"/>
        <v>577143</v>
      </c>
      <c r="F24" s="363"/>
      <c r="G24" s="363"/>
      <c r="H24" s="363">
        <v>346285</v>
      </c>
      <c r="I24" s="363"/>
      <c r="J24" s="366">
        <v>115429</v>
      </c>
      <c r="K24" s="366">
        <v>115429</v>
      </c>
      <c r="L24" s="149">
        <f t="shared" si="4"/>
        <v>577143</v>
      </c>
    </row>
    <row r="25" spans="1:12" s="142" customFormat="1" ht="15.75">
      <c r="A25" s="141"/>
      <c r="B25" s="141"/>
      <c r="C25" s="317"/>
      <c r="D25" s="317"/>
      <c r="E25" s="148">
        <f t="shared" si="3"/>
        <v>0</v>
      </c>
      <c r="F25" s="317"/>
      <c r="G25" s="317"/>
      <c r="H25" s="317"/>
      <c r="I25" s="317"/>
      <c r="J25" s="317"/>
      <c r="K25" s="317"/>
      <c r="L25" s="149">
        <f t="shared" si="4"/>
        <v>0</v>
      </c>
    </row>
    <row r="26" spans="1:12" s="142" customFormat="1" ht="15.75">
      <c r="A26" s="141"/>
      <c r="B26" s="141"/>
      <c r="C26" s="317"/>
      <c r="D26" s="317"/>
      <c r="E26" s="148">
        <f t="shared" si="3"/>
        <v>0</v>
      </c>
      <c r="F26" s="317"/>
      <c r="G26" s="317"/>
      <c r="H26" s="317"/>
      <c r="I26" s="317"/>
      <c r="J26" s="317"/>
      <c r="K26" s="317"/>
      <c r="L26" s="149">
        <f t="shared" si="4"/>
        <v>0</v>
      </c>
    </row>
    <row r="27" spans="1:12" s="142" customFormat="1" ht="15.75">
      <c r="A27" s="141"/>
      <c r="B27" s="141"/>
      <c r="C27" s="317"/>
      <c r="D27" s="317"/>
      <c r="E27" s="148">
        <f>SUM(C27:D27)</f>
        <v>0</v>
      </c>
      <c r="F27" s="317"/>
      <c r="G27" s="317"/>
      <c r="H27" s="317"/>
      <c r="I27" s="317"/>
      <c r="J27" s="317"/>
      <c r="K27" s="317"/>
      <c r="L27" s="149">
        <f>SUM(F27:K27)</f>
        <v>0</v>
      </c>
    </row>
    <row r="28" spans="1:12" s="142" customFormat="1" ht="15.75">
      <c r="A28" s="141"/>
      <c r="B28" s="141"/>
      <c r="C28" s="317"/>
      <c r="D28" s="317"/>
      <c r="E28" s="148">
        <f>SUM(C28:D28)</f>
        <v>0</v>
      </c>
      <c r="F28" s="317"/>
      <c r="G28" s="317"/>
      <c r="H28" s="317"/>
      <c r="I28" s="317"/>
      <c r="J28" s="317"/>
      <c r="K28" s="317"/>
      <c r="L28" s="149">
        <f>SUM(F28:K28)</f>
        <v>0</v>
      </c>
    </row>
    <row r="29" spans="1:12" s="133" customFormat="1" ht="16.5" thickBot="1">
      <c r="A29" s="155" t="s">
        <v>258</v>
      </c>
      <c r="B29" s="156">
        <f>SUM(B20:B26)</f>
        <v>283.09999999999997</v>
      </c>
      <c r="C29" s="157">
        <f>SUM(C21:C26)</f>
        <v>13339023</v>
      </c>
      <c r="D29" s="157">
        <f>SUM(D21:D26)</f>
        <v>9058561</v>
      </c>
      <c r="E29" s="157">
        <f>SUM(E20:E26)</f>
        <v>25681750</v>
      </c>
      <c r="F29" s="157">
        <f t="shared" ref="F29:K29" si="5">SUM(F21:F26)</f>
        <v>240956</v>
      </c>
      <c r="G29" s="157">
        <f t="shared" si="5"/>
        <v>45209</v>
      </c>
      <c r="H29" s="157">
        <f t="shared" si="5"/>
        <v>1849464</v>
      </c>
      <c r="I29" s="157">
        <f t="shared" si="5"/>
        <v>17775925</v>
      </c>
      <c r="J29" s="157">
        <f t="shared" si="5"/>
        <v>1304495.2059713993</v>
      </c>
      <c r="K29" s="157">
        <f t="shared" si="5"/>
        <v>1181535.2059713993</v>
      </c>
      <c r="L29" s="157">
        <f>SUM(L20:L26)</f>
        <v>25681749.715750434</v>
      </c>
    </row>
    <row r="30" spans="1:12" s="142" customFormat="1" ht="16.5" thickTop="1">
      <c r="A30" s="141"/>
      <c r="B30" s="141"/>
      <c r="C30" s="317"/>
      <c r="D30" s="317"/>
      <c r="E30" s="148">
        <f t="shared" ref="E30:E36" si="6">SUM(C30:D30)</f>
        <v>0</v>
      </c>
      <c r="F30" s="317"/>
      <c r="G30" s="317"/>
      <c r="H30" s="317"/>
      <c r="I30" s="317"/>
      <c r="J30" s="317"/>
      <c r="K30" s="317"/>
      <c r="L30" s="149">
        <f t="shared" ref="L30:L36" si="7">SUM(F30:K30)</f>
        <v>0</v>
      </c>
    </row>
    <row r="31" spans="1:12" s="142" customFormat="1" ht="15.75">
      <c r="A31" s="141"/>
      <c r="B31" s="141"/>
      <c r="C31" s="317"/>
      <c r="D31" s="317"/>
      <c r="E31" s="148">
        <f t="shared" si="6"/>
        <v>0</v>
      </c>
      <c r="F31" s="317"/>
      <c r="G31" s="317"/>
      <c r="H31" s="317"/>
      <c r="I31" s="317"/>
      <c r="J31" s="317"/>
      <c r="K31" s="317"/>
      <c r="L31" s="149">
        <f t="shared" si="7"/>
        <v>0</v>
      </c>
    </row>
    <row r="32" spans="1:12" ht="15.75">
      <c r="A32" s="124"/>
      <c r="B32" s="146"/>
      <c r="C32" s="30"/>
      <c r="D32" s="30"/>
      <c r="E32" s="148">
        <f t="shared" si="6"/>
        <v>0</v>
      </c>
      <c r="F32" s="30"/>
      <c r="G32" s="30"/>
      <c r="H32" s="30"/>
      <c r="I32" s="30"/>
      <c r="J32" s="30"/>
      <c r="K32" s="30"/>
      <c r="L32" s="148">
        <f t="shared" si="7"/>
        <v>0</v>
      </c>
    </row>
    <row r="33" spans="1:12" ht="15.75">
      <c r="A33" s="124"/>
      <c r="B33" s="146"/>
      <c r="C33" s="30"/>
      <c r="D33" s="30"/>
      <c r="E33" s="148">
        <f t="shared" si="6"/>
        <v>0</v>
      </c>
      <c r="F33" s="30"/>
      <c r="G33" s="30"/>
      <c r="H33" s="30"/>
      <c r="I33" s="30"/>
      <c r="J33" s="30"/>
      <c r="K33" s="30"/>
      <c r="L33" s="148">
        <f t="shared" si="7"/>
        <v>0</v>
      </c>
    </row>
    <row r="34" spans="1:12" ht="15.75">
      <c r="A34" s="124"/>
      <c r="B34" s="146"/>
      <c r="C34" s="30"/>
      <c r="D34" s="30"/>
      <c r="E34" s="148">
        <f t="shared" si="6"/>
        <v>0</v>
      </c>
      <c r="F34" s="30"/>
      <c r="G34" s="30"/>
      <c r="H34" s="30"/>
      <c r="I34" s="30"/>
      <c r="J34" s="30"/>
      <c r="K34" s="30"/>
      <c r="L34" s="148">
        <f t="shared" si="7"/>
        <v>0</v>
      </c>
    </row>
    <row r="35" spans="1:12" ht="15.75">
      <c r="A35" s="124"/>
      <c r="B35" s="146"/>
      <c r="C35" s="30"/>
      <c r="D35" s="30"/>
      <c r="E35" s="148">
        <f t="shared" si="6"/>
        <v>0</v>
      </c>
      <c r="F35" s="30"/>
      <c r="G35" s="30"/>
      <c r="H35" s="30"/>
      <c r="I35" s="30"/>
      <c r="J35" s="30"/>
      <c r="K35" s="30"/>
      <c r="L35" s="148">
        <f t="shared" si="7"/>
        <v>0</v>
      </c>
    </row>
    <row r="36" spans="1:12" ht="15.75">
      <c r="A36" s="318" t="str">
        <f>A16</f>
        <v>ADMINISTRATIVE TOTAL</v>
      </c>
      <c r="B36" s="319">
        <f>B16</f>
        <v>99.4</v>
      </c>
      <c r="C36" s="320">
        <f>C16</f>
        <v>5791330</v>
      </c>
      <c r="D36" s="320">
        <f>D16</f>
        <v>3868031</v>
      </c>
      <c r="E36" s="148">
        <f t="shared" si="6"/>
        <v>9659361</v>
      </c>
      <c r="F36" s="321">
        <f t="shared" ref="F36:K36" si="8">F16</f>
        <v>269699.70999999996</v>
      </c>
      <c r="G36" s="321">
        <f t="shared" si="8"/>
        <v>136511.26</v>
      </c>
      <c r="H36" s="321">
        <f t="shared" si="8"/>
        <v>1309478.8600000001</v>
      </c>
      <c r="I36" s="321">
        <f t="shared" si="8"/>
        <v>6886703</v>
      </c>
      <c r="J36" s="321">
        <f t="shared" si="8"/>
        <v>528484.45455342915</v>
      </c>
      <c r="K36" s="321">
        <f t="shared" si="8"/>
        <v>528483.57530910044</v>
      </c>
      <c r="L36" s="148">
        <f t="shared" si="7"/>
        <v>9659360.8598625287</v>
      </c>
    </row>
    <row r="37" spans="1:12" ht="15.75">
      <c r="A37" s="318" t="str">
        <f t="shared" ref="A37:L37" si="9">A29</f>
        <v>PAGE 1 DIRECT SERVICES TOTAL</v>
      </c>
      <c r="B37" s="322">
        <f t="shared" si="9"/>
        <v>283.09999999999997</v>
      </c>
      <c r="C37" s="321">
        <f t="shared" si="9"/>
        <v>13339023</v>
      </c>
      <c r="D37" s="321">
        <f t="shared" si="9"/>
        <v>9058561</v>
      </c>
      <c r="E37" s="148">
        <f t="shared" si="9"/>
        <v>25681750</v>
      </c>
      <c r="F37" s="321">
        <f t="shared" si="9"/>
        <v>240956</v>
      </c>
      <c r="G37" s="321">
        <f t="shared" si="9"/>
        <v>45209</v>
      </c>
      <c r="H37" s="321">
        <f t="shared" si="9"/>
        <v>1849464</v>
      </c>
      <c r="I37" s="321">
        <f t="shared" si="9"/>
        <v>17775925</v>
      </c>
      <c r="J37" s="321">
        <f t="shared" si="9"/>
        <v>1304495.2059713993</v>
      </c>
      <c r="K37" s="321">
        <f t="shared" si="9"/>
        <v>1181535.2059713993</v>
      </c>
      <c r="L37" s="148">
        <f t="shared" si="9"/>
        <v>25681749.715750434</v>
      </c>
    </row>
    <row r="38" spans="1:12" s="133" customFormat="1" ht="16.5" thickBot="1">
      <c r="A38" s="318" t="s">
        <v>259</v>
      </c>
      <c r="B38" s="323"/>
      <c r="C38" s="158"/>
      <c r="D38" s="158"/>
      <c r="E38" s="158"/>
      <c r="F38" s="158"/>
      <c r="G38" s="158"/>
      <c r="H38" s="158"/>
      <c r="I38" s="158"/>
      <c r="J38" s="158"/>
      <c r="K38" s="158"/>
      <c r="L38" s="157"/>
    </row>
    <row r="39" spans="1:12" s="131" customFormat="1" ht="16.5" thickTop="1">
      <c r="A39" s="152" t="s">
        <v>158</v>
      </c>
      <c r="B39" s="153">
        <f>SUM(B36:B38)</f>
        <v>382.5</v>
      </c>
      <c r="C39" s="154">
        <f t="shared" ref="C39:L39" si="10">SUM(C36:C38)</f>
        <v>19130353</v>
      </c>
      <c r="D39" s="154">
        <f t="shared" si="10"/>
        <v>12926592</v>
      </c>
      <c r="E39" s="154">
        <f t="shared" si="10"/>
        <v>35341111</v>
      </c>
      <c r="F39" s="154">
        <f t="shared" si="10"/>
        <v>510655.70999999996</v>
      </c>
      <c r="G39" s="154">
        <f t="shared" si="10"/>
        <v>181720.26</v>
      </c>
      <c r="H39" s="154">
        <f t="shared" si="10"/>
        <v>3158942.8600000003</v>
      </c>
      <c r="I39" s="154">
        <f t="shared" si="10"/>
        <v>24662628</v>
      </c>
      <c r="J39" s="154">
        <f t="shared" si="10"/>
        <v>1832979.6605248284</v>
      </c>
      <c r="K39" s="154">
        <f t="shared" si="10"/>
        <v>1710018.7812804999</v>
      </c>
      <c r="L39" s="154">
        <f t="shared" si="10"/>
        <v>35341110.575612962</v>
      </c>
    </row>
  </sheetData>
  <sheetProtection selectLockedCells="1"/>
  <protectedRanges>
    <protectedRange sqref="A2:B2 F8:K15 B8:D15 A9:A15 A38 A32:D37 F32:K37" name="Range1"/>
  </protectedRanges>
  <customSheetViews>
    <customSheetView guid="{AB1FFAD6-1D3B-42E3-A3A7-9220125B4B05}">
      <selection activeCell="L30" sqref="L30"/>
      <rowBreaks count="2" manualBreakCount="2">
        <brk id="29" max="11" man="1"/>
        <brk id="41" max="16383" man="1"/>
      </rowBreaks>
      <pageMargins left="0" right="0" top="0" bottom="0.5" header="0.19" footer="0.2"/>
      <printOptions horizontalCentered="1" verticalCentered="1"/>
      <pageSetup scale="68" orientation="landscape" r:id="rId1"/>
      <headerFooter alignWithMargins="0">
        <oddFooter>&amp;L&amp;A&amp;CDate Printed:  &amp;D                                                                 &amp;R&amp;P of &amp;N</oddFooter>
      </headerFooter>
    </customSheetView>
    <customSheetView guid="{91A667C6-F252-4792-89C6-D1CF90C6139A}">
      <selection activeCell="L30" sqref="L30"/>
      <rowBreaks count="2" manualBreakCount="2">
        <brk id="29" max="11" man="1"/>
        <brk id="41" max="16383" man="1"/>
      </rowBreaks>
      <pageMargins left="0" right="0" top="0" bottom="0.5" header="0.19" footer="0.2"/>
      <printOptions horizontalCentered="1" verticalCentered="1"/>
      <pageSetup scale="68" orientation="landscape" r:id="rId2"/>
      <headerFooter alignWithMargins="0">
        <oddFooter>&amp;L&amp;A&amp;CDate Printed:  &amp;D                                                                 &amp;R&amp;P of &amp;N</oddFooter>
      </headerFooter>
    </customSheetView>
    <customSheetView guid="{B5815511-5174-4022-8727-E29AD76A8A57}">
      <selection activeCell="L30" sqref="L30"/>
      <rowBreaks count="2" manualBreakCount="2">
        <brk id="29" max="11" man="1"/>
        <brk id="41" max="16383" man="1"/>
      </rowBreaks>
      <pageMargins left="0" right="0" top="0" bottom="0.5" header="0.19" footer="0.2"/>
      <printOptions horizontalCentered="1" verticalCentered="1"/>
      <pageSetup scale="68" orientation="landscape" r:id="rId3"/>
      <headerFooter alignWithMargins="0">
        <oddFooter>&amp;L&amp;A&amp;CDate Printed:  &amp;D                                                                 &amp;R&amp;P of &amp;N</oddFooter>
      </headerFooter>
    </customSheetView>
    <customSheetView guid="{FC59C8CD-A934-4366-8337-D6B3831494AD}">
      <selection activeCell="L30" sqref="L30"/>
      <rowBreaks count="2" manualBreakCount="2">
        <brk id="29" max="11" man="1"/>
        <brk id="41" max="16383" man="1"/>
      </rowBreaks>
      <pageMargins left="0" right="0" top="0" bottom="0.5" header="0.19" footer="0.2"/>
      <printOptions horizontalCentered="1" verticalCentered="1"/>
      <pageSetup scale="68" orientation="landscape" r:id="rId4"/>
      <headerFooter alignWithMargins="0">
        <oddFooter>&amp;L&amp;A&amp;CDate Printed:  &amp;D                                                                 &amp;R&amp;P of &amp;N</oddFooter>
      </headerFooter>
    </customSheetView>
    <customSheetView guid="{6B6D6F50-27BD-4C38-A2D0-F8E35D15D656}">
      <selection activeCell="L30" sqref="L30"/>
      <rowBreaks count="2" manualBreakCount="2">
        <brk id="29" max="11" man="1"/>
        <brk id="41" max="16383" man="1"/>
      </rowBreaks>
      <pageMargins left="0" right="0" top="0" bottom="0.5" header="0.19" footer="0.2"/>
      <printOptions horizontalCentered="1" verticalCentered="1"/>
      <pageSetup scale="68" orientation="landscape" r:id="rId5"/>
      <headerFooter alignWithMargins="0">
        <oddFooter>&amp;L&amp;A&amp;CDate Printed:  &amp;D                                                                 &amp;R&amp;P of &amp;N</oddFooter>
      </headerFooter>
    </customSheetView>
  </customSheetViews>
  <mergeCells count="5">
    <mergeCell ref="A1:B1"/>
    <mergeCell ref="A3:C3"/>
    <mergeCell ref="F18:K18"/>
    <mergeCell ref="F5:K5"/>
    <mergeCell ref="D1:I2"/>
  </mergeCells>
  <phoneticPr fontId="4" type="noConversion"/>
  <printOptions horizontalCentered="1" verticalCentered="1"/>
  <pageMargins left="0" right="0" top="0" bottom="0.5" header="0.19" footer="0.2"/>
  <pageSetup scale="68" orientation="landscape" r:id="rId6"/>
  <headerFooter alignWithMargins="0">
    <oddFooter>&amp;L&amp;A&amp;CDate Printed:  &amp;D                                                                 &amp;R&amp;P of &amp;N</oddFooter>
  </headerFooter>
  <rowBreaks count="2" manualBreakCount="2">
    <brk id="29" max="11" man="1"/>
    <brk id="41" max="16383" man="1"/>
  </rowBreaks>
</worksheet>
</file>

<file path=xl/worksheets/sheet5.xml><?xml version="1.0" encoding="utf-8"?>
<worksheet xmlns="http://schemas.openxmlformats.org/spreadsheetml/2006/main" xmlns:r="http://schemas.openxmlformats.org/officeDocument/2006/relationships">
  <sheetPr codeName="Sheet4">
    <tabColor theme="9" tint="0.39997558519241921"/>
    <pageSetUpPr fitToPage="1"/>
  </sheetPr>
  <dimension ref="A1:F35"/>
  <sheetViews>
    <sheetView showWhiteSpace="0" topLeftCell="A3" zoomScaleNormal="100" zoomScaleSheetLayoutView="75" zoomScalePageLayoutView="75" workbookViewId="0">
      <selection activeCell="C27" sqref="C27"/>
    </sheetView>
  </sheetViews>
  <sheetFormatPr defaultColWidth="9.140625" defaultRowHeight="18"/>
  <cols>
    <col min="1" max="1" width="48.85546875" style="196" customWidth="1"/>
    <col min="2" max="2" width="15.140625" style="196" customWidth="1"/>
    <col min="3" max="3" width="45.7109375" style="196" customWidth="1"/>
    <col min="4" max="4" width="2.85546875" style="196" customWidth="1"/>
    <col min="5" max="5" width="45.7109375" style="196" customWidth="1"/>
    <col min="6" max="6" width="14.7109375" style="196" customWidth="1"/>
    <col min="7" max="16384" width="9.140625" style="196"/>
  </cols>
  <sheetData>
    <row r="1" spans="1:6" ht="12.75" customHeight="1">
      <c r="A1" s="233"/>
      <c r="B1" s="455"/>
      <c r="C1" s="455"/>
      <c r="D1" s="456"/>
      <c r="E1" s="456"/>
      <c r="F1" s="456"/>
    </row>
    <row r="2" spans="1:6">
      <c r="A2" s="233"/>
      <c r="B2" s="455"/>
      <c r="C2" s="455"/>
      <c r="D2" s="456"/>
      <c r="E2" s="456"/>
      <c r="F2" s="456"/>
    </row>
    <row r="3" spans="1:6" ht="22.5" customHeight="1">
      <c r="A3" s="238" t="s">
        <v>286</v>
      </c>
      <c r="B3" s="455"/>
      <c r="C3" s="455"/>
      <c r="D3" s="456"/>
      <c r="E3" s="456"/>
      <c r="F3" s="456"/>
    </row>
    <row r="4" spans="1:6" ht="19.5" customHeight="1">
      <c r="A4" s="234" t="str">
        <f>Budget!A2</f>
        <v>Multnomah County Aging, Disability &amp; Veterans Services Dept (MCADVSD)</v>
      </c>
      <c r="B4" s="235"/>
      <c r="C4" s="237"/>
      <c r="D4" s="324"/>
      <c r="E4" s="324"/>
      <c r="F4" s="325"/>
    </row>
    <row r="5" spans="1:6" ht="19.5" customHeight="1">
      <c r="A5" s="457" t="str">
        <f>Budget!A3</f>
        <v>BUDGET PERIOD:  7.1.2016 - 6.30.2017  Area Plan Year 1</v>
      </c>
      <c r="B5" s="457"/>
      <c r="C5" s="237"/>
      <c r="D5" s="324"/>
      <c r="E5" s="286"/>
      <c r="F5" s="284"/>
    </row>
    <row r="6" spans="1:6" ht="23.25" customHeight="1" thickBot="1">
      <c r="A6" s="287"/>
      <c r="B6" s="241" t="s">
        <v>122</v>
      </c>
      <c r="C6" s="242" t="s">
        <v>123</v>
      </c>
      <c r="D6" s="324"/>
      <c r="E6" s="312" t="s">
        <v>124</v>
      </c>
      <c r="F6" s="311" t="s">
        <v>125</v>
      </c>
    </row>
    <row r="7" spans="1:6" s="198" customFormat="1" ht="72" customHeight="1">
      <c r="A7" s="288" t="s">
        <v>217</v>
      </c>
      <c r="B7" s="289" t="s">
        <v>236</v>
      </c>
      <c r="C7" s="290" t="s">
        <v>212</v>
      </c>
      <c r="E7" s="326" t="s">
        <v>263</v>
      </c>
      <c r="F7" s="327" t="s">
        <v>260</v>
      </c>
    </row>
    <row r="8" spans="1:6" s="198" customFormat="1" ht="21" customHeight="1" thickBot="1">
      <c r="A8" s="299" t="s">
        <v>213</v>
      </c>
      <c r="B8" s="243">
        <v>1</v>
      </c>
      <c r="C8" s="351" t="s">
        <v>325</v>
      </c>
      <c r="E8" s="332"/>
      <c r="F8" s="295"/>
    </row>
    <row r="9" spans="1:6" s="198" customFormat="1" ht="28.5">
      <c r="A9" s="299" t="s">
        <v>193</v>
      </c>
      <c r="B9" s="243">
        <v>31</v>
      </c>
      <c r="C9" s="353" t="s">
        <v>309</v>
      </c>
      <c r="E9" s="333"/>
      <c r="F9" s="295"/>
    </row>
    <row r="10" spans="1:6" s="198" customFormat="1" ht="21" customHeight="1">
      <c r="A10" s="300" t="s">
        <v>211</v>
      </c>
      <c r="B10" s="243">
        <v>17.399999999999999</v>
      </c>
      <c r="C10" s="351" t="s">
        <v>310</v>
      </c>
      <c r="E10" s="333"/>
      <c r="F10" s="295"/>
    </row>
    <row r="11" spans="1:6" s="198" customFormat="1" ht="21" customHeight="1">
      <c r="A11" s="299" t="s">
        <v>291</v>
      </c>
      <c r="B11" s="243">
        <v>2</v>
      </c>
      <c r="C11" s="351" t="s">
        <v>311</v>
      </c>
      <c r="E11" s="333"/>
      <c r="F11" s="296"/>
    </row>
    <row r="12" spans="1:6" s="198" customFormat="1" ht="21" customHeight="1">
      <c r="A12" s="299" t="s">
        <v>288</v>
      </c>
      <c r="B12" s="354">
        <v>22</v>
      </c>
      <c r="C12" s="351" t="s">
        <v>312</v>
      </c>
      <c r="E12" s="333"/>
      <c r="F12" s="295"/>
    </row>
    <row r="13" spans="1:6" s="198" customFormat="1" ht="21" customHeight="1">
      <c r="A13" s="299" t="s">
        <v>292</v>
      </c>
      <c r="B13" s="354">
        <v>146.69999999999999</v>
      </c>
      <c r="C13" s="351" t="s">
        <v>313</v>
      </c>
      <c r="E13" s="333"/>
      <c r="F13" s="295"/>
    </row>
    <row r="14" spans="1:6" s="198" customFormat="1" ht="21" customHeight="1">
      <c r="A14" s="299" t="s">
        <v>192</v>
      </c>
      <c r="B14" s="354">
        <v>70</v>
      </c>
      <c r="C14" s="351" t="s">
        <v>314</v>
      </c>
      <c r="D14" s="231"/>
      <c r="E14" s="333"/>
      <c r="F14" s="295"/>
    </row>
    <row r="15" spans="1:6" s="198" customFormat="1" ht="21" customHeight="1">
      <c r="A15" s="299" t="s">
        <v>191</v>
      </c>
      <c r="B15" s="354">
        <v>49</v>
      </c>
      <c r="C15" s="351" t="s">
        <v>315</v>
      </c>
      <c r="E15" s="333"/>
      <c r="F15" s="295"/>
    </row>
    <row r="16" spans="1:6" s="198" customFormat="1" ht="21" customHeight="1">
      <c r="A16" s="300" t="s">
        <v>210</v>
      </c>
      <c r="B16" s="243">
        <v>4.4000000000000004</v>
      </c>
      <c r="C16" s="351" t="s">
        <v>316</v>
      </c>
      <c r="E16" s="333"/>
      <c r="F16" s="295"/>
    </row>
    <row r="17" spans="1:6" s="198" customFormat="1" ht="21" customHeight="1">
      <c r="A17" s="299" t="s">
        <v>323</v>
      </c>
      <c r="B17" s="243">
        <v>1</v>
      </c>
      <c r="C17" s="351" t="s">
        <v>326</v>
      </c>
      <c r="E17" s="333"/>
      <c r="F17" s="295"/>
    </row>
    <row r="18" spans="1:6" s="198" customFormat="1" ht="21" customHeight="1">
      <c r="A18" s="299" t="s">
        <v>322</v>
      </c>
      <c r="B18" s="243">
        <v>18</v>
      </c>
      <c r="C18" s="351" t="s">
        <v>321</v>
      </c>
      <c r="E18" s="333"/>
      <c r="F18" s="295"/>
    </row>
    <row r="19" spans="1:6" s="198" customFormat="1" ht="21" customHeight="1">
      <c r="A19" s="299" t="s">
        <v>194</v>
      </c>
      <c r="B19" s="243">
        <v>10</v>
      </c>
      <c r="C19" s="351" t="s">
        <v>324</v>
      </c>
      <c r="E19" s="333"/>
      <c r="F19" s="295"/>
    </row>
    <row r="20" spans="1:6" s="198" customFormat="1" ht="21" customHeight="1">
      <c r="A20" s="299" t="s">
        <v>214</v>
      </c>
      <c r="B20" s="243">
        <v>2</v>
      </c>
      <c r="C20" s="351" t="s">
        <v>317</v>
      </c>
      <c r="E20" s="333"/>
      <c r="F20" s="295"/>
    </row>
    <row r="21" spans="1:6" s="198" customFormat="1" ht="21" customHeight="1">
      <c r="A21" s="299" t="s">
        <v>215</v>
      </c>
      <c r="B21" s="243">
        <v>1</v>
      </c>
      <c r="C21" s="351" t="s">
        <v>318</v>
      </c>
      <c r="E21" s="333"/>
      <c r="F21" s="295"/>
    </row>
    <row r="22" spans="1:6" s="198" customFormat="1" ht="21" customHeight="1">
      <c r="A22" s="299" t="s">
        <v>216</v>
      </c>
      <c r="B22" s="245">
        <v>0</v>
      </c>
      <c r="C22" s="351" t="s">
        <v>319</v>
      </c>
      <c r="E22" s="333"/>
      <c r="F22" s="296"/>
    </row>
    <row r="23" spans="1:6" s="198" customFormat="1" ht="21" customHeight="1" thickBot="1">
      <c r="A23" s="301" t="s">
        <v>293</v>
      </c>
      <c r="B23" s="292">
        <v>7</v>
      </c>
      <c r="C23" s="352" t="s">
        <v>320</v>
      </c>
      <c r="E23" s="333"/>
      <c r="F23" s="297"/>
    </row>
    <row r="24" spans="1:6" s="198" customFormat="1" ht="21" customHeight="1">
      <c r="A24" s="260"/>
      <c r="B24" s="284"/>
      <c r="C24" s="286"/>
      <c r="E24" s="333"/>
      <c r="F24" s="297"/>
    </row>
    <row r="25" spans="1:6" s="198" customFormat="1" ht="21" customHeight="1">
      <c r="A25" s="260"/>
      <c r="B25" s="284"/>
      <c r="C25" s="286"/>
      <c r="E25" s="333"/>
      <c r="F25" s="297"/>
    </row>
    <row r="26" spans="1:6" s="198" customFormat="1" ht="21" customHeight="1">
      <c r="B26" s="284"/>
      <c r="C26" s="286"/>
      <c r="E26" s="333"/>
      <c r="F26" s="297"/>
    </row>
    <row r="27" spans="1:6" s="198" customFormat="1" ht="21" customHeight="1">
      <c r="B27" s="284"/>
      <c r="C27" s="286"/>
      <c r="E27" s="333"/>
      <c r="F27" s="297"/>
    </row>
    <row r="28" spans="1:6" s="198" customFormat="1" ht="21" customHeight="1">
      <c r="B28" s="284"/>
      <c r="C28" s="286"/>
      <c r="E28" s="333"/>
      <c r="F28" s="297"/>
    </row>
    <row r="29" spans="1:6" s="198" customFormat="1" ht="21" customHeight="1">
      <c r="B29" s="284"/>
      <c r="C29" s="286"/>
      <c r="E29" s="333"/>
      <c r="F29" s="297"/>
    </row>
    <row r="30" spans="1:6" s="198" customFormat="1" ht="21" customHeight="1">
      <c r="B30" s="284"/>
      <c r="C30" s="286"/>
      <c r="E30" s="333"/>
      <c r="F30" s="297"/>
    </row>
    <row r="31" spans="1:6" s="198" customFormat="1" ht="21" customHeight="1">
      <c r="B31" s="284"/>
      <c r="C31" s="286"/>
      <c r="E31" s="333"/>
      <c r="F31" s="297"/>
    </row>
    <row r="32" spans="1:6" s="198" customFormat="1" ht="21" customHeight="1">
      <c r="B32" s="284"/>
      <c r="C32" s="286"/>
      <c r="E32" s="333"/>
      <c r="F32" s="297"/>
    </row>
    <row r="33" spans="2:6" s="198" customFormat="1" ht="21" customHeight="1">
      <c r="B33" s="284"/>
      <c r="C33" s="286"/>
      <c r="E33" s="333"/>
      <c r="F33" s="297"/>
    </row>
    <row r="34" spans="2:6" ht="21" customHeight="1" thickBot="1">
      <c r="B34" s="197"/>
      <c r="C34" s="197"/>
      <c r="E34" s="334"/>
      <c r="F34" s="298"/>
    </row>
    <row r="35" spans="2:6" ht="15.95" customHeight="1">
      <c r="B35" s="197"/>
      <c r="C35" s="197"/>
    </row>
  </sheetData>
  <sheetProtection selectLockedCells="1"/>
  <customSheetViews>
    <customSheetView guid="{AB1FFAD6-1D3B-42E3-A3A7-9220125B4B05}" fitToPage="1" topLeftCell="A3">
      <selection activeCell="C27" sqref="C27"/>
      <rowBreaks count="1" manualBreakCount="1">
        <brk id="45" max="16383" man="1"/>
      </rowBreaks>
      <pageMargins left="0" right="0" top="0" bottom="0.5" header="0.19" footer="0.2"/>
      <printOptions verticalCentered="1"/>
      <pageSetup scale="85" orientation="landscape" r:id="rId1"/>
      <headerFooter alignWithMargins="0">
        <oddFooter>&amp;L&amp;A&amp;CDate Printed:  &amp;D                                                                 &amp;R&amp;P of &amp;N</oddFooter>
      </headerFooter>
    </customSheetView>
    <customSheetView guid="{91A667C6-F252-4792-89C6-D1CF90C6139A}" fitToPage="1" topLeftCell="A3">
      <selection activeCell="C27" sqref="C27"/>
      <rowBreaks count="1" manualBreakCount="1">
        <brk id="45" max="16383" man="1"/>
      </rowBreaks>
      <pageMargins left="0" right="0" top="0" bottom="0.5" header="0.19" footer="0.2"/>
      <printOptions verticalCentered="1"/>
      <pageSetup scale="85" orientation="landscape" r:id="rId2"/>
      <headerFooter alignWithMargins="0">
        <oddFooter>&amp;L&amp;A&amp;CDate Printed:  &amp;D                                                                 &amp;R&amp;P of &amp;N</oddFooter>
      </headerFooter>
    </customSheetView>
    <customSheetView guid="{B5815511-5174-4022-8727-E29AD76A8A57}" fitToPage="1" topLeftCell="A3">
      <selection activeCell="C27" sqref="C27"/>
      <rowBreaks count="1" manualBreakCount="1">
        <brk id="45" max="16383" man="1"/>
      </rowBreaks>
      <pageMargins left="0" right="0" top="0" bottom="0.5" header="0.19" footer="0.2"/>
      <printOptions verticalCentered="1"/>
      <pageSetup scale="85" orientation="landscape" r:id="rId3"/>
      <headerFooter alignWithMargins="0">
        <oddFooter>&amp;L&amp;A&amp;CDate Printed:  &amp;D                                                                 &amp;R&amp;P of &amp;N</oddFooter>
      </headerFooter>
    </customSheetView>
    <customSheetView guid="{FC59C8CD-A934-4366-8337-D6B3831494AD}" fitToPage="1" topLeftCell="A3">
      <selection activeCell="C27" sqref="C27"/>
      <rowBreaks count="1" manualBreakCount="1">
        <brk id="45" max="16383" man="1"/>
      </rowBreaks>
      <pageMargins left="0" right="0" top="0" bottom="0.5" header="0.19" footer="0.2"/>
      <printOptions verticalCentered="1"/>
      <pageSetup scale="85" orientation="landscape" r:id="rId4"/>
      <headerFooter alignWithMargins="0">
        <oddFooter>&amp;L&amp;A&amp;CDate Printed:  &amp;D                                                                 &amp;R&amp;P of &amp;N</oddFooter>
      </headerFooter>
    </customSheetView>
    <customSheetView guid="{6B6D6F50-27BD-4C38-A2D0-F8E35D15D656}" fitToPage="1" topLeftCell="A3">
      <selection activeCell="C27" sqref="C27"/>
      <rowBreaks count="1" manualBreakCount="1">
        <brk id="45" max="16383" man="1"/>
      </rowBreaks>
      <pageMargins left="0" right="0" top="0" bottom="0.5" header="0.19" footer="0.2"/>
      <printOptions verticalCentered="1"/>
      <pageSetup scale="85" orientation="landscape" r:id="rId5"/>
      <headerFooter alignWithMargins="0">
        <oddFooter>&amp;L&amp;A&amp;CDate Printed:  &amp;D                                                                 &amp;R&amp;P of &amp;N</oddFooter>
      </headerFooter>
    </customSheetView>
  </customSheetViews>
  <mergeCells count="2">
    <mergeCell ref="B1:F3"/>
    <mergeCell ref="A5:B5"/>
  </mergeCells>
  <printOptions verticalCentered="1"/>
  <pageMargins left="0" right="0" top="0" bottom="0.5" header="0.19" footer="0.2"/>
  <pageSetup scale="85" orientation="landscape" r:id="rId6"/>
  <headerFooter alignWithMargins="0">
    <oddFooter>&amp;L&amp;A&amp;CDate Printed:  &amp;D                                                                 &amp;R&amp;P of &amp;N</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sheetPr codeName="Sheet5">
    <tabColor theme="9" tint="0.39997558519241921"/>
    <pageSetUpPr fitToPage="1"/>
  </sheetPr>
  <dimension ref="A1:H33"/>
  <sheetViews>
    <sheetView showWhiteSpace="0" zoomScale="65" zoomScaleNormal="65" zoomScaleSheetLayoutView="75" zoomScalePageLayoutView="75" workbookViewId="0">
      <selection activeCell="D24" sqref="D24"/>
    </sheetView>
  </sheetViews>
  <sheetFormatPr defaultColWidth="9.140625" defaultRowHeight="18"/>
  <cols>
    <col min="1" max="1" width="48.85546875" style="196" customWidth="1"/>
    <col min="2" max="2" width="15" style="196" customWidth="1"/>
    <col min="3" max="3" width="15.140625" style="196" customWidth="1"/>
    <col min="4" max="4" width="13.42578125" style="196" customWidth="1"/>
    <col min="5" max="5" width="45.7109375" style="196" customWidth="1"/>
    <col min="6" max="6" width="2.85546875" style="196" customWidth="1"/>
    <col min="7" max="7" width="45.7109375" style="196" customWidth="1"/>
    <col min="8" max="8" width="14.7109375" style="196" customWidth="1"/>
    <col min="9" max="16384" width="9.140625" style="196"/>
  </cols>
  <sheetData>
    <row r="1" spans="1:8" ht="12.75" customHeight="1">
      <c r="A1" s="233"/>
      <c r="B1" s="458" t="s">
        <v>262</v>
      </c>
      <c r="C1" s="455"/>
      <c r="D1" s="455"/>
      <c r="E1" s="455"/>
      <c r="F1" s="456"/>
      <c r="G1" s="456"/>
      <c r="H1" s="456"/>
    </row>
    <row r="2" spans="1:8">
      <c r="A2" s="233"/>
      <c r="B2" s="455"/>
      <c r="C2" s="455"/>
      <c r="D2" s="455"/>
      <c r="E2" s="455"/>
      <c r="F2" s="456"/>
      <c r="G2" s="456"/>
      <c r="H2" s="456"/>
    </row>
    <row r="3" spans="1:8" ht="22.5" customHeight="1">
      <c r="A3" s="238" t="s">
        <v>286</v>
      </c>
      <c r="B3" s="455"/>
      <c r="C3" s="455"/>
      <c r="D3" s="455"/>
      <c r="E3" s="455"/>
      <c r="F3" s="456"/>
      <c r="G3" s="456"/>
      <c r="H3" s="456"/>
    </row>
    <row r="4" spans="1:8" ht="19.5" customHeight="1">
      <c r="A4" s="234" t="str">
        <f>Budget!A2</f>
        <v>Multnomah County Aging, Disability &amp; Veterans Services Dept (MCADVSD)</v>
      </c>
      <c r="B4" s="235"/>
      <c r="C4" s="235"/>
      <c r="D4" s="236"/>
      <c r="E4" s="237"/>
      <c r="F4" s="324"/>
      <c r="G4" s="324"/>
      <c r="H4" s="325"/>
    </row>
    <row r="5" spans="1:8" ht="19.5" customHeight="1">
      <c r="A5" s="457" t="str">
        <f>Budget!A3</f>
        <v>BUDGET PERIOD:  7.1.2016 - 6.30.2017  Area Plan Year 1</v>
      </c>
      <c r="B5" s="457"/>
      <c r="C5" s="457"/>
      <c r="D5" s="457"/>
      <c r="E5" s="237"/>
      <c r="F5" s="324"/>
      <c r="G5" s="286"/>
      <c r="H5" s="284"/>
    </row>
    <row r="6" spans="1:8" ht="23.25" customHeight="1" thickBot="1">
      <c r="A6" s="287"/>
      <c r="B6" s="241" t="s">
        <v>122</v>
      </c>
      <c r="C6" s="241" t="s">
        <v>123</v>
      </c>
      <c r="D6" s="242" t="s">
        <v>124</v>
      </c>
      <c r="E6" s="242" t="s">
        <v>125</v>
      </c>
      <c r="F6" s="324"/>
      <c r="G6" s="312" t="s">
        <v>126</v>
      </c>
      <c r="H6" s="311" t="s">
        <v>127</v>
      </c>
    </row>
    <row r="7" spans="1:8" s="198" customFormat="1" ht="72" customHeight="1">
      <c r="A7" s="288" t="s">
        <v>217</v>
      </c>
      <c r="B7" s="289" t="s">
        <v>235</v>
      </c>
      <c r="C7" s="289" t="s">
        <v>236</v>
      </c>
      <c r="D7" s="289" t="s">
        <v>234</v>
      </c>
      <c r="E7" s="290" t="s">
        <v>212</v>
      </c>
      <c r="G7" s="326" t="s">
        <v>263</v>
      </c>
      <c r="H7" s="327" t="s">
        <v>260</v>
      </c>
    </row>
    <row r="8" spans="1:8" s="198" customFormat="1" ht="21" customHeight="1">
      <c r="A8" s="299" t="s">
        <v>213</v>
      </c>
      <c r="B8" s="282"/>
      <c r="C8" s="243"/>
      <c r="D8" s="282"/>
      <c r="E8" s="291"/>
      <c r="G8" s="332"/>
      <c r="H8" s="295"/>
    </row>
    <row r="9" spans="1:8" s="198" customFormat="1" ht="21" customHeight="1">
      <c r="A9" s="299" t="s">
        <v>193</v>
      </c>
      <c r="B9" s="283"/>
      <c r="C9" s="244"/>
      <c r="D9" s="282"/>
      <c r="E9" s="291"/>
      <c r="G9" s="333"/>
      <c r="H9" s="295"/>
    </row>
    <row r="10" spans="1:8" s="198" customFormat="1" ht="21" customHeight="1">
      <c r="A10" s="300" t="s">
        <v>211</v>
      </c>
      <c r="B10" s="282"/>
      <c r="C10" s="243"/>
      <c r="D10" s="282"/>
      <c r="E10" s="291"/>
      <c r="G10" s="333"/>
      <c r="H10" s="295"/>
    </row>
    <row r="11" spans="1:8" s="198" customFormat="1" ht="21" customHeight="1">
      <c r="A11" s="299" t="s">
        <v>287</v>
      </c>
      <c r="B11" s="243"/>
      <c r="C11" s="243"/>
      <c r="D11" s="243"/>
      <c r="E11" s="291"/>
      <c r="G11" s="333"/>
      <c r="H11" s="296"/>
    </row>
    <row r="12" spans="1:8" s="198" customFormat="1" ht="21" customHeight="1">
      <c r="A12" s="299" t="s">
        <v>288</v>
      </c>
      <c r="B12" s="282"/>
      <c r="C12" s="243"/>
      <c r="D12" s="282"/>
      <c r="E12" s="291"/>
      <c r="G12" s="333"/>
      <c r="H12" s="295"/>
    </row>
    <row r="13" spans="1:8" s="198" customFormat="1" ht="21" customHeight="1">
      <c r="A13" s="299" t="s">
        <v>289</v>
      </c>
      <c r="B13" s="243"/>
      <c r="C13" s="243"/>
      <c r="D13" s="243"/>
      <c r="E13" s="291"/>
      <c r="G13" s="333"/>
      <c r="H13" s="295"/>
    </row>
    <row r="14" spans="1:8" s="198" customFormat="1" ht="21" customHeight="1">
      <c r="A14" s="299" t="s">
        <v>192</v>
      </c>
      <c r="B14" s="283"/>
      <c r="C14" s="244"/>
      <c r="D14" s="282"/>
      <c r="E14" s="291"/>
      <c r="F14" s="231"/>
      <c r="G14" s="333"/>
      <c r="H14" s="295"/>
    </row>
    <row r="15" spans="1:8" s="198" customFormat="1" ht="21" customHeight="1">
      <c r="A15" s="299" t="s">
        <v>191</v>
      </c>
      <c r="B15" s="282"/>
      <c r="C15" s="243"/>
      <c r="D15" s="282"/>
      <c r="E15" s="291"/>
      <c r="G15" s="333"/>
      <c r="H15" s="295"/>
    </row>
    <row r="16" spans="1:8" s="198" customFormat="1" ht="21" customHeight="1">
      <c r="A16" s="300" t="s">
        <v>210</v>
      </c>
      <c r="B16" s="282"/>
      <c r="C16" s="243"/>
      <c r="D16" s="282"/>
      <c r="E16" s="291"/>
      <c r="G16" s="333"/>
      <c r="H16" s="295"/>
    </row>
    <row r="17" spans="1:8" s="198" customFormat="1" ht="21" customHeight="1">
      <c r="A17" s="299" t="s">
        <v>194</v>
      </c>
      <c r="B17" s="282"/>
      <c r="C17" s="243"/>
      <c r="D17" s="282"/>
      <c r="E17" s="291"/>
      <c r="G17" s="333"/>
      <c r="H17" s="295"/>
    </row>
    <row r="18" spans="1:8" s="198" customFormat="1" ht="21" customHeight="1">
      <c r="A18" s="299" t="s">
        <v>214</v>
      </c>
      <c r="B18" s="282"/>
      <c r="C18" s="243"/>
      <c r="D18" s="282"/>
      <c r="E18" s="291"/>
      <c r="G18" s="333"/>
      <c r="H18" s="295"/>
    </row>
    <row r="19" spans="1:8" s="198" customFormat="1" ht="21" customHeight="1">
      <c r="A19" s="299" t="s">
        <v>215</v>
      </c>
      <c r="B19" s="283"/>
      <c r="C19" s="244"/>
      <c r="D19" s="282"/>
      <c r="E19" s="291"/>
      <c r="G19" s="333"/>
      <c r="H19" s="295"/>
    </row>
    <row r="20" spans="1:8" s="198" customFormat="1" ht="21" customHeight="1">
      <c r="A20" s="299" t="s">
        <v>216</v>
      </c>
      <c r="B20" s="282"/>
      <c r="C20" s="245"/>
      <c r="D20" s="282"/>
      <c r="E20" s="291"/>
      <c r="G20" s="333"/>
      <c r="H20" s="296"/>
    </row>
    <row r="21" spans="1:8" s="198" customFormat="1" ht="21" customHeight="1" thickBot="1">
      <c r="A21" s="301" t="s">
        <v>290</v>
      </c>
      <c r="B21" s="292"/>
      <c r="C21" s="292"/>
      <c r="D21" s="293"/>
      <c r="E21" s="294"/>
      <c r="G21" s="333"/>
      <c r="H21" s="297"/>
    </row>
    <row r="22" spans="1:8" s="198" customFormat="1" ht="21" customHeight="1">
      <c r="A22" s="260" t="s">
        <v>256</v>
      </c>
      <c r="B22" s="284"/>
      <c r="C22" s="284"/>
      <c r="D22" s="285"/>
      <c r="E22" s="286"/>
      <c r="G22" s="333"/>
      <c r="H22" s="297"/>
    </row>
    <row r="23" spans="1:8" s="198" customFormat="1" ht="21" customHeight="1">
      <c r="A23" s="260"/>
      <c r="B23" s="284"/>
      <c r="C23" s="284"/>
      <c r="D23" s="285"/>
      <c r="E23" s="286"/>
      <c r="G23" s="333"/>
      <c r="H23" s="297"/>
    </row>
    <row r="24" spans="1:8" s="198" customFormat="1" ht="21" customHeight="1">
      <c r="C24" s="284"/>
      <c r="D24" s="285"/>
      <c r="E24" s="286"/>
      <c r="G24" s="333"/>
      <c r="H24" s="297"/>
    </row>
    <row r="25" spans="1:8" s="198" customFormat="1" ht="21" customHeight="1">
      <c r="C25" s="284"/>
      <c r="D25" s="285"/>
      <c r="E25" s="286"/>
      <c r="G25" s="333"/>
      <c r="H25" s="297"/>
    </row>
    <row r="26" spans="1:8" s="198" customFormat="1" ht="21" customHeight="1">
      <c r="C26" s="284"/>
      <c r="D26" s="285"/>
      <c r="E26" s="286"/>
      <c r="G26" s="333"/>
      <c r="H26" s="297"/>
    </row>
    <row r="27" spans="1:8" s="198" customFormat="1" ht="21" customHeight="1">
      <c r="C27" s="284"/>
      <c r="D27" s="285"/>
      <c r="E27" s="286"/>
      <c r="G27" s="333"/>
      <c r="H27" s="297"/>
    </row>
    <row r="28" spans="1:8" s="198" customFormat="1" ht="21" customHeight="1">
      <c r="C28" s="284"/>
      <c r="D28" s="285"/>
      <c r="E28" s="286"/>
      <c r="G28" s="333"/>
      <c r="H28" s="297"/>
    </row>
    <row r="29" spans="1:8" s="198" customFormat="1" ht="21" customHeight="1">
      <c r="C29" s="284"/>
      <c r="D29" s="285"/>
      <c r="E29" s="286"/>
      <c r="G29" s="333"/>
      <c r="H29" s="297"/>
    </row>
    <row r="30" spans="1:8" s="198" customFormat="1" ht="21" customHeight="1">
      <c r="C30" s="284"/>
      <c r="D30" s="285"/>
      <c r="E30" s="286"/>
      <c r="G30" s="333"/>
      <c r="H30" s="297"/>
    </row>
    <row r="31" spans="1:8" s="198" customFormat="1" ht="21" customHeight="1">
      <c r="C31" s="284"/>
      <c r="D31" s="285"/>
      <c r="E31" s="286"/>
      <c r="G31" s="333"/>
      <c r="H31" s="297"/>
    </row>
    <row r="32" spans="1:8" ht="21" customHeight="1" thickBot="1">
      <c r="C32" s="197"/>
      <c r="D32" s="197"/>
      <c r="E32" s="197"/>
      <c r="G32" s="334"/>
      <c r="H32" s="298"/>
    </row>
    <row r="33" spans="3:5" ht="15.95" customHeight="1">
      <c r="C33" s="197"/>
      <c r="D33" s="197"/>
      <c r="E33" s="197"/>
    </row>
  </sheetData>
  <sheetProtection password="CDB2" sheet="1" selectLockedCells="1"/>
  <customSheetViews>
    <customSheetView guid="{AB1FFAD6-1D3B-42E3-A3A7-9220125B4B05}" scale="65" fitToPage="1" state="hidden">
      <selection activeCell="D24" sqref="D24"/>
      <rowBreaks count="1" manualBreakCount="1">
        <brk id="43" max="16383" man="1"/>
      </rowBreaks>
      <pageMargins left="0" right="0" top="0" bottom="0.5" header="0.19" footer="0.2"/>
      <printOptions verticalCentered="1"/>
      <pageSetup scale="74" orientation="landscape" r:id="rId1"/>
      <headerFooter alignWithMargins="0">
        <oddFooter>&amp;L&amp;A&amp;CDate Printed:  &amp;D                                                                 &amp;R&amp;P of &amp;N</oddFooter>
      </headerFooter>
    </customSheetView>
    <customSheetView guid="{91A667C6-F252-4792-89C6-D1CF90C6139A}" scale="65" fitToPage="1" state="hidden">
      <selection activeCell="D24" sqref="D24"/>
      <rowBreaks count="1" manualBreakCount="1">
        <brk id="43" max="16383" man="1"/>
      </rowBreaks>
      <pageMargins left="0" right="0" top="0" bottom="0.5" header="0.19" footer="0.2"/>
      <printOptions verticalCentered="1"/>
      <pageSetup scale="74" orientation="landscape" r:id="rId2"/>
      <headerFooter alignWithMargins="0">
        <oddFooter>&amp;L&amp;A&amp;CDate Printed:  &amp;D                                                                 &amp;R&amp;P of &amp;N</oddFooter>
      </headerFooter>
    </customSheetView>
    <customSheetView guid="{B5815511-5174-4022-8727-E29AD76A8A57}" scale="65" fitToPage="1" state="hidden">
      <selection activeCell="D24" sqref="D24"/>
      <rowBreaks count="1" manualBreakCount="1">
        <brk id="43" max="16383" man="1"/>
      </rowBreaks>
      <pageMargins left="0" right="0" top="0" bottom="0.5" header="0.19" footer="0.2"/>
      <printOptions verticalCentered="1"/>
      <pageSetup scale="74" orientation="landscape" r:id="rId3"/>
      <headerFooter alignWithMargins="0">
        <oddFooter>&amp;L&amp;A&amp;CDate Printed:  &amp;D                                                                 &amp;R&amp;P of &amp;N</oddFooter>
      </headerFooter>
    </customSheetView>
    <customSheetView guid="{FC59C8CD-A934-4366-8337-D6B3831494AD}" scale="65" fitToPage="1" state="hidden">
      <selection activeCell="D24" sqref="D24"/>
      <rowBreaks count="1" manualBreakCount="1">
        <brk id="43" max="16383" man="1"/>
      </rowBreaks>
      <pageMargins left="0" right="0" top="0" bottom="0.5" header="0.19" footer="0.2"/>
      <printOptions verticalCentered="1"/>
      <pageSetup scale="74" orientation="landscape" r:id="rId4"/>
      <headerFooter alignWithMargins="0">
        <oddFooter>&amp;L&amp;A&amp;CDate Printed:  &amp;D                                                                 &amp;R&amp;P of &amp;N</oddFooter>
      </headerFooter>
    </customSheetView>
    <customSheetView guid="{6B6D6F50-27BD-4C38-A2D0-F8E35D15D656}" scale="65" fitToPage="1" state="hidden">
      <selection activeCell="D24" sqref="D24"/>
      <rowBreaks count="1" manualBreakCount="1">
        <brk id="43" max="16383" man="1"/>
      </rowBreaks>
      <pageMargins left="0" right="0" top="0" bottom="0.5" header="0.19" footer="0.2"/>
      <printOptions verticalCentered="1"/>
      <pageSetup scale="74" orientation="landscape" r:id="rId5"/>
      <headerFooter alignWithMargins="0">
        <oddFooter>&amp;L&amp;A&amp;CDate Printed:  &amp;D                                                                 &amp;R&amp;P of &amp;N</oddFooter>
      </headerFooter>
    </customSheetView>
  </customSheetViews>
  <mergeCells count="2">
    <mergeCell ref="A5:D5"/>
    <mergeCell ref="B1:H3"/>
  </mergeCells>
  <phoneticPr fontId="4" type="noConversion"/>
  <printOptions verticalCentered="1"/>
  <pageMargins left="0" right="0" top="0" bottom="0.5" header="0.19" footer="0.2"/>
  <pageSetup scale="74" orientation="landscape" r:id="rId6"/>
  <headerFooter alignWithMargins="0">
    <oddFooter>&amp;L&amp;A&amp;CDate Printed:  &amp;D                                                                 &amp;R&amp;P of &amp;N</oddFooter>
  </headerFooter>
  <rowBreaks count="1" manualBreakCount="1">
    <brk id="43" max="16383" man="1"/>
  </rowBreaks>
</worksheet>
</file>

<file path=xl/worksheets/sheet7.xml><?xml version="1.0" encoding="utf-8"?>
<worksheet xmlns="http://schemas.openxmlformats.org/spreadsheetml/2006/main" xmlns:r="http://schemas.openxmlformats.org/officeDocument/2006/relationships">
  <sheetPr codeName="Sheet6"/>
  <dimension ref="A1:C23"/>
  <sheetViews>
    <sheetView workbookViewId="0">
      <selection activeCell="A13" sqref="A13"/>
    </sheetView>
  </sheetViews>
  <sheetFormatPr defaultColWidth="9" defaultRowHeight="18"/>
  <cols>
    <col min="1" max="1" width="111.5703125" style="196" customWidth="1"/>
    <col min="2" max="2" width="76.7109375" style="196" customWidth="1"/>
    <col min="3" max="3" width="9.42578125" style="206" customWidth="1"/>
    <col min="4" max="16384" width="9" style="196"/>
  </cols>
  <sheetData>
    <row r="1" spans="1:3" s="200" customFormat="1">
      <c r="A1" s="208" t="s">
        <v>224</v>
      </c>
      <c r="B1" s="207" t="s">
        <v>225</v>
      </c>
      <c r="C1" s="199"/>
    </row>
    <row r="2" spans="1:3" ht="23.25">
      <c r="A2" s="201" t="s">
        <v>239</v>
      </c>
      <c r="B2" s="202" t="s">
        <v>226</v>
      </c>
      <c r="C2" s="203"/>
    </row>
    <row r="3" spans="1:3" ht="26.25" customHeight="1">
      <c r="A3" s="201" t="s">
        <v>240</v>
      </c>
      <c r="B3" s="202" t="s">
        <v>227</v>
      </c>
      <c r="C3" s="203"/>
    </row>
    <row r="4" spans="1:3" ht="23.25">
      <c r="A4" s="201" t="s">
        <v>241</v>
      </c>
      <c r="B4" s="202" t="s">
        <v>228</v>
      </c>
      <c r="C4" s="203"/>
    </row>
    <row r="5" spans="1:3" ht="23.25">
      <c r="A5" s="201" t="s">
        <v>242</v>
      </c>
      <c r="B5" s="202" t="s">
        <v>229</v>
      </c>
      <c r="C5" s="203"/>
    </row>
    <row r="6" spans="1:3" ht="23.25">
      <c r="A6" s="201" t="s">
        <v>243</v>
      </c>
      <c r="B6" s="202"/>
      <c r="C6" s="203"/>
    </row>
    <row r="7" spans="1:3" ht="23.25">
      <c r="A7" s="201" t="s">
        <v>244</v>
      </c>
      <c r="B7" s="202"/>
      <c r="C7" s="203"/>
    </row>
    <row r="8" spans="1:3" ht="23.25">
      <c r="A8" s="201" t="s">
        <v>245</v>
      </c>
      <c r="B8" s="202"/>
      <c r="C8" s="203"/>
    </row>
    <row r="9" spans="1:3" ht="23.25">
      <c r="A9" s="201" t="s">
        <v>246</v>
      </c>
      <c r="B9" s="202"/>
      <c r="C9" s="203"/>
    </row>
    <row r="10" spans="1:3" ht="23.25">
      <c r="A10" s="201" t="s">
        <v>247</v>
      </c>
      <c r="B10" s="202"/>
      <c r="C10" s="203"/>
    </row>
    <row r="11" spans="1:3" ht="23.25">
      <c r="A11" s="201" t="s">
        <v>248</v>
      </c>
      <c r="B11" s="202"/>
      <c r="C11" s="203"/>
    </row>
    <row r="12" spans="1:3" ht="23.25">
      <c r="A12" s="201" t="s">
        <v>249</v>
      </c>
      <c r="B12" s="202"/>
      <c r="C12" s="203"/>
    </row>
    <row r="13" spans="1:3" ht="23.25">
      <c r="A13" s="201" t="s">
        <v>250</v>
      </c>
      <c r="B13" s="202"/>
      <c r="C13" s="203"/>
    </row>
    <row r="14" spans="1:3" ht="23.25">
      <c r="A14" s="201" t="s">
        <v>251</v>
      </c>
      <c r="B14" s="202"/>
      <c r="C14" s="203"/>
    </row>
    <row r="15" spans="1:3" ht="23.25">
      <c r="A15" s="201" t="s">
        <v>252</v>
      </c>
      <c r="B15" s="204"/>
      <c r="C15" s="203"/>
    </row>
    <row r="16" spans="1:3" ht="23.25">
      <c r="A16" s="201" t="s">
        <v>253</v>
      </c>
      <c r="B16" s="202"/>
      <c r="C16" s="203"/>
    </row>
    <row r="17" spans="1:3" ht="23.25">
      <c r="A17" s="201" t="s">
        <v>254</v>
      </c>
      <c r="B17" s="202"/>
      <c r="C17" s="203"/>
    </row>
    <row r="18" spans="1:3" ht="23.25">
      <c r="A18" s="201" t="s">
        <v>255</v>
      </c>
      <c r="B18" s="202"/>
      <c r="C18" s="203"/>
    </row>
    <row r="19" spans="1:3" ht="23.25">
      <c r="A19" s="201"/>
      <c r="B19" s="202"/>
      <c r="C19" s="203"/>
    </row>
    <row r="20" spans="1:3" ht="23.25">
      <c r="A20" s="201"/>
      <c r="B20" s="201"/>
      <c r="C20" s="205"/>
    </row>
    <row r="21" spans="1:3" ht="23.25">
      <c r="A21" s="201"/>
      <c r="B21" s="201"/>
      <c r="C21" s="205"/>
    </row>
    <row r="22" spans="1:3" ht="23.25">
      <c r="A22" s="201"/>
      <c r="B22" s="201"/>
      <c r="C22" s="205"/>
    </row>
    <row r="23" spans="1:3" ht="23.25">
      <c r="A23" s="201"/>
      <c r="B23" s="201"/>
      <c r="C23" s="205"/>
    </row>
  </sheetData>
  <sheetProtection password="CDB2" sheet="1"/>
  <customSheetViews>
    <customSheetView guid="{AB1FFAD6-1D3B-42E3-A3A7-9220125B4B05}">
      <selection activeCell="A13" sqref="A13"/>
      <pageMargins left="0.7" right="0.7" top="0.75" bottom="0.75" header="0.3" footer="0.3"/>
    </customSheetView>
    <customSheetView guid="{91A667C6-F252-4792-89C6-D1CF90C6139A}">
      <selection activeCell="A13" sqref="A13"/>
      <pageMargins left="0.7" right="0.7" top="0.75" bottom="0.75" header="0.3" footer="0.3"/>
    </customSheetView>
    <customSheetView guid="{B5815511-5174-4022-8727-E29AD76A8A57}">
      <selection activeCell="A13" sqref="A13"/>
      <pageMargins left="0.7" right="0.7" top="0.75" bottom="0.75" header="0.3" footer="0.3"/>
    </customSheetView>
    <customSheetView guid="{FC59C8CD-A934-4366-8337-D6B3831494AD}">
      <selection activeCell="A13" sqref="A13"/>
      <pageMargins left="0.7" right="0.7" top="0.75" bottom="0.75" header="0.3" footer="0.3"/>
    </customSheetView>
    <customSheetView guid="{6B6D6F50-27BD-4C38-A2D0-F8E35D15D656}">
      <selection activeCell="A13" sqref="A13"/>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6A9F1DCF914FB47BF3A6C25E3FA83C5" ma:contentTypeVersion="35" ma:contentTypeDescription="Create a new document." ma:contentTypeScope="" ma:versionID="bdc86c626bb6d49841414fd9bb0241eb">
  <xsd:schema xmlns:xsd="http://www.w3.org/2001/XMLSchema" xmlns:xs="http://www.w3.org/2001/XMLSchema" xmlns:p="http://schemas.microsoft.com/office/2006/metadata/properties" xmlns:ns1="http://schemas.microsoft.com/sharepoint/v3" xmlns:ns2="ff90a875-b49c-40de-9556-a35ae4f67e29" targetNamespace="http://schemas.microsoft.com/office/2006/metadata/properties" ma:root="true" ma:fieldsID="a899a7ec276d9ed927b6fd0cfb313ee1" ns1:_="" ns2:_="">
    <xsd:import namespace="http://schemas.microsoft.com/sharepoint/v3"/>
    <xsd:import namespace="ff90a875-b49c-40de-9556-a35ae4f67e29"/>
    <xsd:element name="properties">
      <xsd:complexType>
        <xsd:sequence>
          <xsd:element name="documentManagement">
            <xsd:complexType>
              <xsd:all>
                <xsd:element ref="ns2:Link" minOccurs="0"/>
                <xsd:element ref="ns2:Meta_x0020_Description" minOccurs="0"/>
                <xsd:element ref="ns2:Meta_x0020_Keywords"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2"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f90a875-b49c-40de-9556-a35ae4f67e29" elementFormDefault="qualified">
    <xsd:import namespace="http://schemas.microsoft.com/office/2006/documentManagement/types"/>
    <xsd:import namespace="http://schemas.microsoft.com/office/infopath/2007/PartnerControls"/>
    <xsd:element name="Link" ma:index="8" nillable="true" ma:displayName="Link" ma:description="Added column for Update Document URL reusable workflow." ma:format="Hyperlink" ma:hidden="true" ma:internalName="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ta_x0020_Description" ma:index="9" nillable="true" ma:displayName="Meta Description" ma:internalName="Meta_x0020_Description" ma:readOnly="false">
      <xsd:simpleType>
        <xsd:restriction base="dms:Text">
          <xsd:maxLength value="255"/>
        </xsd:restriction>
      </xsd:simpleType>
    </xsd:element>
    <xsd:element name="Meta_x0020_Keywords" ma:index="10" nillable="true" ma:displayName="Meta Keywords" ma:internalName="Meta_x0020_Keywords"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Link xmlns="ff90a875-b49c-40de-9556-a35ae4f67e29">
      <Url xmlns="ff90a875-b49c-40de-9556-a35ae4f67e29">https://www-auth.oregon.egov.com/DHS/SENIORS-DISABILITIES/SUA/AAABusinessTraining/AP Budget Workbook.xls</Url>
      <Description xmlns="ff90a875-b49c-40de-9556-a35ae4f67e29">AP Budget Workbook.xls</Description>
    </Link>
    <URL xmlns="http://schemas.microsoft.com/sharepoint/v3">
      <Url xmlns="http://schemas.microsoft.com/sharepoint/v3" xsi:nil="true"/>
      <Description xmlns="http://schemas.microsoft.com/sharepoint/v3" xsi:nil="true"/>
    </URL>
    <Meta_x0020_Description xmlns="ff90a875-b49c-40de-9556-a35ae4f67e29" xsi:nil="true"/>
    <Meta_x0020_Keywords xmlns="ff90a875-b49c-40de-9556-a35ae4f67e29" xsi:nil="true"/>
  </documentManagement>
</p:properties>
</file>

<file path=customXml/itemProps1.xml><?xml version="1.0" encoding="utf-8"?>
<ds:datastoreItem xmlns:ds="http://schemas.openxmlformats.org/officeDocument/2006/customXml" ds:itemID="{B1E6386D-882A-43B5-AF0C-F79BB8834646}">
  <ds:schemaRefs>
    <ds:schemaRef ds:uri="http://schemas.microsoft.com/office/2006/metadata/longProperties"/>
  </ds:schemaRefs>
</ds:datastoreItem>
</file>

<file path=customXml/itemProps2.xml><?xml version="1.0" encoding="utf-8"?>
<ds:datastoreItem xmlns:ds="http://schemas.openxmlformats.org/officeDocument/2006/customXml" ds:itemID="{B68E4866-A2D5-43B2-A535-C2597D8C67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f90a875-b49c-40de-9556-a35ae4f67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E3199D-F293-48D8-9214-930DA732044B}">
  <ds:schemaRefs>
    <ds:schemaRef ds:uri="http://schemas.microsoft.com/sharepoint/v3/contenttype/forms"/>
  </ds:schemaRefs>
</ds:datastoreItem>
</file>

<file path=customXml/itemProps4.xml><?xml version="1.0" encoding="utf-8"?>
<ds:datastoreItem xmlns:ds="http://schemas.openxmlformats.org/officeDocument/2006/customXml" ds:itemID="{13CA4954-ECA6-4D47-954B-4C074EA01599}">
  <ds:schemaRefs>
    <ds:schemaRef ds:uri="http://schemas.microsoft.com/office/2006/metadata/properties"/>
    <ds:schemaRef ds:uri="ff90a875-b49c-40de-9556-a35ae4f67e29"/>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Form Instructions</vt:lpstr>
      <vt:lpstr>Budget</vt:lpstr>
      <vt:lpstr>Cash &amp; In-kind Match</vt:lpstr>
      <vt:lpstr>XIX-OAA-OPI Staffing Plan</vt:lpstr>
      <vt:lpstr>Allocated Medicaid Staff</vt:lpstr>
      <vt:lpstr>Allocated Medicaid Staffing</vt:lpstr>
      <vt:lpstr>Data Validation</vt:lpstr>
      <vt:lpstr>Budget!Print_Area</vt:lpstr>
      <vt:lpstr>'Form Instructions'!Print_Area</vt:lpstr>
      <vt:lpstr>'XIX-OAA-OPI Staffing Plan'!Print_Area</vt:lpstr>
      <vt:lpstr>Budget!Print_Titles</vt:lpstr>
      <vt:lpstr>'XIX-OAA-OPI Staffing Plan'!Print_Titles</vt:lpstr>
      <vt:lpstr>Select_AAA_Name</vt:lpstr>
      <vt:lpstr>Select_Budget_Period</vt:lpstr>
    </vt:vector>
  </TitlesOfParts>
  <Company>State of Oregon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DHS-OIS-NDS</dc:creator>
  <cp:lastModifiedBy>webberr</cp:lastModifiedBy>
  <cp:lastPrinted>2016-07-12T23:25:33Z</cp:lastPrinted>
  <dcterms:created xsi:type="dcterms:W3CDTF">2011-12-01T00:02:33Z</dcterms:created>
  <dcterms:modified xsi:type="dcterms:W3CDTF">2016-09-21T17:47:04Z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8cca51c1-1bd8-4440-be7b-6b7ff37470b5,2;</vt:lpwstr>
  </property>
</Properties>
</file>