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Community Access Files\Area Plan 2017-2020\Area Plan Reporting &amp; Budget\Year 2 - FY 18 Update\"/>
    </mc:Choice>
  </mc:AlternateContent>
  <bookViews>
    <workbookView xWindow="-396" yWindow="96" windowWidth="12120" windowHeight="6780" tabRatio="836" activeTab="1"/>
  </bookViews>
  <sheets>
    <sheet name="Form Instructions" sheetId="4" r:id="rId1"/>
    <sheet name="Budget" sheetId="1" r:id="rId2"/>
    <sheet name="Cash &amp; In-kind Match" sheetId="2" r:id="rId3"/>
    <sheet name="XIX-OAA-OPI Staffing Plan" sheetId="3" r:id="rId4"/>
    <sheet name="Allocated Medicaid Staff" sheetId="7" r:id="rId5"/>
    <sheet name="Allocated Medicaid Staffing" sheetId="5" state="hidden" r:id="rId6"/>
    <sheet name="Data Validation" sheetId="6" r:id="rId7"/>
  </sheets>
  <definedNames>
    <definedName name="Monthly_Meal_Count" localSheetId="4">#REF!</definedName>
    <definedName name="Monthly_Meal_Count">#REF!</definedName>
    <definedName name="Notes" localSheetId="4">#REF!</definedName>
    <definedName name="Notes">#REF!</definedName>
    <definedName name="_xlnm.Print_Area" localSheetId="1">Budget!$A$1:$U$82</definedName>
    <definedName name="_xlnm.Print_Area" localSheetId="0">'Form Instructions'!$A$1:$B$48</definedName>
    <definedName name="_xlnm.Print_Area" localSheetId="3">'XIX-OAA-OPI Staffing Plan'!$A$1:$L$86</definedName>
    <definedName name="_xlnm.Print_Titles" localSheetId="1">Budget!$5:$6</definedName>
    <definedName name="_xlnm.Print_Titles" localSheetId="3">'XIX-OAA-OPI Staffing Plan'!$25:$26</definedName>
    <definedName name="Select_AAA_Name">'Data Validation'!$A$1:$A$18</definedName>
    <definedName name="Select_Budget_Period">'Data Validation'!$B$1:$B$6</definedName>
  </definedNames>
  <calcPr calcId="162913"/>
</workbook>
</file>

<file path=xl/calcChain.xml><?xml version="1.0" encoding="utf-8"?>
<calcChain xmlns="http://schemas.openxmlformats.org/spreadsheetml/2006/main">
  <c r="R40" i="1" l="1"/>
  <c r="R38" i="1"/>
  <c r="P34" i="1" l="1"/>
  <c r="K15" i="3" l="1"/>
  <c r="J15" i="3"/>
  <c r="D9" i="2" l="1"/>
  <c r="R59" i="1"/>
  <c r="R8" i="1"/>
  <c r="R47" i="1"/>
  <c r="R15" i="1"/>
  <c r="R49" i="1"/>
  <c r="R12" i="1"/>
  <c r="R61" i="1"/>
  <c r="R75" i="1"/>
  <c r="R74" i="1" l="1"/>
  <c r="R27" i="1"/>
  <c r="B29" i="2" l="1"/>
  <c r="A2" i="1"/>
  <c r="D14" i="2" l="1"/>
  <c r="L62" i="1" l="1"/>
  <c r="Q12" i="1" l="1"/>
  <c r="R71" i="1"/>
  <c r="R10" i="1"/>
  <c r="R37" i="1"/>
  <c r="R42" i="1"/>
  <c r="R31" i="1"/>
  <c r="R72" i="1"/>
  <c r="R66" i="1"/>
  <c r="R19" i="1"/>
  <c r="R20" i="1"/>
  <c r="P12" i="1" l="1"/>
  <c r="P8" i="1"/>
  <c r="R9" i="1" l="1"/>
  <c r="R41" i="1"/>
  <c r="R39" i="1"/>
  <c r="R36" i="1"/>
  <c r="R14" i="1"/>
  <c r="R16" i="1"/>
  <c r="P27" i="1"/>
  <c r="P31" i="1"/>
  <c r="O42" i="1"/>
  <c r="O41" i="1"/>
  <c r="M67" i="1"/>
  <c r="L49" i="1"/>
  <c r="L47" i="1"/>
  <c r="L61" i="1"/>
  <c r="K72" i="1"/>
  <c r="K64" i="1"/>
  <c r="I42" i="1"/>
  <c r="H8" i="1"/>
  <c r="H12" i="1"/>
  <c r="H15" i="1"/>
  <c r="H19" i="1"/>
  <c r="H20" i="1"/>
  <c r="H39" i="1"/>
  <c r="H25" i="1"/>
  <c r="H14" i="1"/>
  <c r="H16" i="1"/>
  <c r="E8" i="3" l="1"/>
  <c r="H11" i="1"/>
  <c r="E9" i="3" l="1"/>
  <c r="S60" i="1"/>
  <c r="T60" i="1" s="1"/>
  <c r="S56" i="1"/>
  <c r="T56" i="1" s="1"/>
  <c r="S20" i="1"/>
  <c r="T20" i="1" s="1"/>
  <c r="N80" i="1"/>
  <c r="S80" i="1" s="1"/>
  <c r="T80" i="1" s="1"/>
  <c r="N79" i="1"/>
  <c r="S79" i="1" s="1"/>
  <c r="T79" i="1" s="1"/>
  <c r="N78" i="1"/>
  <c r="S78" i="1" s="1"/>
  <c r="T78" i="1" s="1"/>
  <c r="N77" i="1"/>
  <c r="S77" i="1" s="1"/>
  <c r="T77" i="1" s="1"/>
  <c r="N76" i="1"/>
  <c r="S76" i="1" s="1"/>
  <c r="T76" i="1" s="1"/>
  <c r="N75" i="1"/>
  <c r="S75" i="1" s="1"/>
  <c r="T75" i="1" s="1"/>
  <c r="N74" i="1"/>
  <c r="S74" i="1" s="1"/>
  <c r="T74" i="1" s="1"/>
  <c r="N73" i="1"/>
  <c r="S73" i="1" s="1"/>
  <c r="T73" i="1" s="1"/>
  <c r="N72" i="1"/>
  <c r="S72" i="1" s="1"/>
  <c r="N71" i="1"/>
  <c r="S71" i="1" s="1"/>
  <c r="T71" i="1" s="1"/>
  <c r="N70" i="1"/>
  <c r="S70" i="1" s="1"/>
  <c r="T70" i="1" s="1"/>
  <c r="N69" i="1"/>
  <c r="S69" i="1" s="1"/>
  <c r="T69" i="1" s="1"/>
  <c r="N68" i="1"/>
  <c r="S68" i="1" s="1"/>
  <c r="T68" i="1" s="1"/>
  <c r="N67" i="1"/>
  <c r="S67" i="1" s="1"/>
  <c r="T67" i="1" s="1"/>
  <c r="N66" i="1"/>
  <c r="S66" i="1" s="1"/>
  <c r="T66" i="1" s="1"/>
  <c r="N65" i="1"/>
  <c r="S65" i="1" s="1"/>
  <c r="T65" i="1" s="1"/>
  <c r="N64" i="1"/>
  <c r="S64" i="1" s="1"/>
  <c r="T64" i="1" s="1"/>
  <c r="M63" i="1"/>
  <c r="L63" i="1"/>
  <c r="K63" i="1"/>
  <c r="J63" i="1"/>
  <c r="I63" i="1"/>
  <c r="H63" i="1"/>
  <c r="R46" i="1"/>
  <c r="Q46" i="1"/>
  <c r="O46" i="1"/>
  <c r="P46" i="1"/>
  <c r="N62" i="1"/>
  <c r="S62" i="1" s="1"/>
  <c r="T62" i="1" s="1"/>
  <c r="N61" i="1"/>
  <c r="S61" i="1" s="1"/>
  <c r="T61" i="1" s="1"/>
  <c r="N60" i="1"/>
  <c r="N59" i="1"/>
  <c r="S59" i="1" s="1"/>
  <c r="T59" i="1" s="1"/>
  <c r="N58" i="1"/>
  <c r="S58" i="1" s="1"/>
  <c r="T58" i="1" s="1"/>
  <c r="N57" i="1"/>
  <c r="S57" i="1" s="1"/>
  <c r="T57" i="1" s="1"/>
  <c r="N56" i="1"/>
  <c r="N55" i="1"/>
  <c r="S55" i="1" s="1"/>
  <c r="T55" i="1" s="1"/>
  <c r="N54" i="1"/>
  <c r="S54" i="1" s="1"/>
  <c r="T54" i="1" s="1"/>
  <c r="N53" i="1"/>
  <c r="S53" i="1" s="1"/>
  <c r="T53" i="1" s="1"/>
  <c r="N52" i="1"/>
  <c r="S52" i="1" s="1"/>
  <c r="N51" i="1"/>
  <c r="S51" i="1" s="1"/>
  <c r="T51" i="1" s="1"/>
  <c r="N50" i="1"/>
  <c r="S50" i="1" s="1"/>
  <c r="T50" i="1" s="1"/>
  <c r="N49" i="1"/>
  <c r="S49" i="1" s="1"/>
  <c r="T49" i="1" s="1"/>
  <c r="N48" i="1"/>
  <c r="S48" i="1" s="1"/>
  <c r="N47" i="1"/>
  <c r="S47" i="1" s="1"/>
  <c r="T47" i="1" s="1"/>
  <c r="M46" i="1"/>
  <c r="L46" i="1"/>
  <c r="K46" i="1"/>
  <c r="J46" i="1"/>
  <c r="I46" i="1"/>
  <c r="H46" i="1"/>
  <c r="Q40" i="1"/>
  <c r="P40" i="1"/>
  <c r="O40" i="1"/>
  <c r="N44" i="1"/>
  <c r="S44" i="1" s="1"/>
  <c r="T44" i="1"/>
  <c r="N43" i="1"/>
  <c r="S43" i="1" s="1"/>
  <c r="T43" i="1" s="1"/>
  <c r="N42" i="1"/>
  <c r="S42" i="1" s="1"/>
  <c r="T42" i="1" s="1"/>
  <c r="N41" i="1"/>
  <c r="S41" i="1" s="1"/>
  <c r="T41" i="1" s="1"/>
  <c r="M40" i="1"/>
  <c r="L40" i="1"/>
  <c r="K40" i="1"/>
  <c r="J40" i="1"/>
  <c r="I40" i="1"/>
  <c r="H40" i="1"/>
  <c r="Q38" i="1"/>
  <c r="P38" i="1"/>
  <c r="O38" i="1"/>
  <c r="N39" i="1"/>
  <c r="S39" i="1" s="1"/>
  <c r="T39" i="1" s="1"/>
  <c r="M38" i="1"/>
  <c r="L38" i="1"/>
  <c r="K38" i="1"/>
  <c r="J38" i="1"/>
  <c r="I38" i="1"/>
  <c r="H38" i="1"/>
  <c r="R24" i="1"/>
  <c r="Q24" i="1"/>
  <c r="P24" i="1"/>
  <c r="O24" i="1"/>
  <c r="N37" i="1"/>
  <c r="S37" i="1" s="1"/>
  <c r="T37" i="1" s="1"/>
  <c r="N36" i="1"/>
  <c r="S36" i="1" s="1"/>
  <c r="N35" i="1"/>
  <c r="S35" i="1" s="1"/>
  <c r="N34" i="1"/>
  <c r="S34" i="1" s="1"/>
  <c r="T34" i="1" s="1"/>
  <c r="N33" i="1"/>
  <c r="S33" i="1" s="1"/>
  <c r="T33" i="1" s="1"/>
  <c r="N32" i="1"/>
  <c r="S32" i="1" s="1"/>
  <c r="T32" i="1" s="1"/>
  <c r="N31" i="1"/>
  <c r="S31" i="1" s="1"/>
  <c r="T31" i="1" s="1"/>
  <c r="N30" i="1"/>
  <c r="S30" i="1" s="1"/>
  <c r="T30" i="1" s="1"/>
  <c r="N29" i="1"/>
  <c r="S29" i="1" s="1"/>
  <c r="T29" i="1" s="1"/>
  <c r="N28" i="1"/>
  <c r="S28" i="1" s="1"/>
  <c r="T28" i="1" s="1"/>
  <c r="N27" i="1"/>
  <c r="S27" i="1" s="1"/>
  <c r="T27" i="1" s="1"/>
  <c r="N26" i="1"/>
  <c r="S26" i="1" s="1"/>
  <c r="T26" i="1" s="1"/>
  <c r="N25" i="1"/>
  <c r="S25" i="1" s="1"/>
  <c r="T25" i="1" s="1"/>
  <c r="M24" i="1"/>
  <c r="L24" i="1"/>
  <c r="K24" i="1"/>
  <c r="J24" i="1"/>
  <c r="I24" i="1"/>
  <c r="H24" i="1"/>
  <c r="R11" i="1"/>
  <c r="Q11" i="1"/>
  <c r="P11" i="1"/>
  <c r="O11" i="1"/>
  <c r="N23" i="1"/>
  <c r="S23" i="1" s="1"/>
  <c r="T23" i="1" s="1"/>
  <c r="N22" i="1"/>
  <c r="S22" i="1" s="1"/>
  <c r="T22" i="1" s="1"/>
  <c r="N21" i="1"/>
  <c r="S21" i="1" s="1"/>
  <c r="T21" i="1" s="1"/>
  <c r="N20" i="1"/>
  <c r="N19" i="1"/>
  <c r="S19" i="1" s="1"/>
  <c r="T19" i="1" s="1"/>
  <c r="N18" i="1"/>
  <c r="S18" i="1" s="1"/>
  <c r="T18" i="1" s="1"/>
  <c r="N17" i="1"/>
  <c r="S17" i="1" s="1"/>
  <c r="T17" i="1" s="1"/>
  <c r="N16" i="1"/>
  <c r="S16" i="1" s="1"/>
  <c r="T16" i="1" s="1"/>
  <c r="N15" i="1"/>
  <c r="S15" i="1" s="1"/>
  <c r="T15" i="1" s="1"/>
  <c r="N14" i="1"/>
  <c r="S14" i="1" s="1"/>
  <c r="T14" i="1" s="1"/>
  <c r="N13" i="1"/>
  <c r="S13" i="1" s="1"/>
  <c r="T13" i="1" s="1"/>
  <c r="N12" i="1"/>
  <c r="M11" i="1"/>
  <c r="L11" i="1"/>
  <c r="K11" i="1"/>
  <c r="J11" i="1"/>
  <c r="I11" i="1"/>
  <c r="R7" i="1"/>
  <c r="Q7" i="1"/>
  <c r="P7" i="1"/>
  <c r="O7" i="1"/>
  <c r="N10" i="1"/>
  <c r="S10" i="1" s="1"/>
  <c r="N9" i="1"/>
  <c r="S9" i="1" s="1"/>
  <c r="N8" i="1"/>
  <c r="S8" i="1" s="1"/>
  <c r="M7" i="1"/>
  <c r="L7" i="1"/>
  <c r="K7" i="1"/>
  <c r="J7" i="1"/>
  <c r="I7" i="1"/>
  <c r="H7" i="1"/>
  <c r="B23" i="3"/>
  <c r="K85" i="3"/>
  <c r="K86" i="3" s="1"/>
  <c r="J85" i="3"/>
  <c r="I85" i="3"/>
  <c r="H85" i="3"/>
  <c r="G85" i="3"/>
  <c r="F85" i="3"/>
  <c r="B85" i="3"/>
  <c r="E84" i="3"/>
  <c r="L84" i="3"/>
  <c r="L58" i="3"/>
  <c r="E58" i="3"/>
  <c r="L57" i="3"/>
  <c r="E57" i="3"/>
  <c r="L56" i="3"/>
  <c r="L55" i="3"/>
  <c r="E55" i="3"/>
  <c r="L22" i="3"/>
  <c r="L21" i="3"/>
  <c r="L20" i="3"/>
  <c r="L19" i="3"/>
  <c r="L18" i="3"/>
  <c r="L17" i="3"/>
  <c r="L16" i="3"/>
  <c r="E21" i="3"/>
  <c r="E20" i="3"/>
  <c r="E19" i="3"/>
  <c r="E18" i="3"/>
  <c r="E17" i="3"/>
  <c r="E16" i="3"/>
  <c r="L15" i="3"/>
  <c r="L23" i="3" s="1"/>
  <c r="E54" i="3"/>
  <c r="E52" i="3"/>
  <c r="E51" i="3"/>
  <c r="E50" i="3"/>
  <c r="E49" i="3"/>
  <c r="E48" i="3"/>
  <c r="E46" i="3"/>
  <c r="E45" i="3"/>
  <c r="E44" i="3"/>
  <c r="E43" i="3"/>
  <c r="E41" i="3"/>
  <c r="E38" i="3"/>
  <c r="E36" i="3"/>
  <c r="E35" i="3"/>
  <c r="E33" i="3"/>
  <c r="E32" i="3"/>
  <c r="E29" i="3"/>
  <c r="E28" i="3"/>
  <c r="C85" i="3"/>
  <c r="C86" i="3" s="1"/>
  <c r="E22" i="3"/>
  <c r="E14" i="3"/>
  <c r="E13" i="3"/>
  <c r="E12" i="3"/>
  <c r="E11" i="3"/>
  <c r="L27" i="3"/>
  <c r="A5" i="7"/>
  <c r="A4" i="7"/>
  <c r="L81" i="3"/>
  <c r="E81" i="3"/>
  <c r="L80" i="3"/>
  <c r="E80" i="3"/>
  <c r="L79" i="3"/>
  <c r="E79" i="3"/>
  <c r="L78" i="3"/>
  <c r="E78" i="3"/>
  <c r="L77" i="3"/>
  <c r="E77" i="3"/>
  <c r="L76" i="3"/>
  <c r="E76" i="3"/>
  <c r="L75" i="3"/>
  <c r="E75" i="3"/>
  <c r="L74" i="3"/>
  <c r="E74" i="3"/>
  <c r="E27" i="3"/>
  <c r="E59" i="3"/>
  <c r="L59" i="3"/>
  <c r="E60" i="3"/>
  <c r="L60" i="3"/>
  <c r="E61" i="3"/>
  <c r="L61" i="3"/>
  <c r="E62" i="3"/>
  <c r="L62" i="3"/>
  <c r="E63" i="3"/>
  <c r="L63" i="3"/>
  <c r="E64" i="3"/>
  <c r="L64" i="3"/>
  <c r="E65" i="3"/>
  <c r="L65" i="3"/>
  <c r="E66" i="3"/>
  <c r="L66" i="3"/>
  <c r="E67" i="3"/>
  <c r="L67" i="3"/>
  <c r="E68" i="3"/>
  <c r="L68" i="3"/>
  <c r="E69" i="3"/>
  <c r="L69" i="3"/>
  <c r="E70" i="3"/>
  <c r="L70" i="3"/>
  <c r="E71" i="3"/>
  <c r="L71" i="3"/>
  <c r="E83" i="3"/>
  <c r="L83" i="3"/>
  <c r="L44" i="3"/>
  <c r="L45" i="3"/>
  <c r="L46" i="3"/>
  <c r="E47" i="3"/>
  <c r="L47" i="3"/>
  <c r="L48" i="3"/>
  <c r="L49" i="3"/>
  <c r="L50" i="3"/>
  <c r="L51" i="3"/>
  <c r="L52" i="3"/>
  <c r="E53" i="3"/>
  <c r="L53" i="3"/>
  <c r="L54" i="3"/>
  <c r="L28" i="3"/>
  <c r="L29" i="3"/>
  <c r="L30" i="3"/>
  <c r="L31" i="3"/>
  <c r="L32" i="3"/>
  <c r="L33" i="3"/>
  <c r="L34" i="3"/>
  <c r="L35" i="3"/>
  <c r="L36" i="3"/>
  <c r="L37" i="3"/>
  <c r="L38" i="3"/>
  <c r="L39" i="3"/>
  <c r="L40" i="3"/>
  <c r="L41" i="3"/>
  <c r="L42" i="3"/>
  <c r="E30" i="3"/>
  <c r="E31" i="3"/>
  <c r="E34" i="3"/>
  <c r="E37" i="3"/>
  <c r="E39" i="3"/>
  <c r="E42" i="3"/>
  <c r="L43" i="3"/>
  <c r="L72" i="3"/>
  <c r="L73" i="3"/>
  <c r="E72" i="3"/>
  <c r="E73" i="3"/>
  <c r="A4" i="5"/>
  <c r="A2" i="2"/>
  <c r="A3" i="3"/>
  <c r="P63" i="1"/>
  <c r="Q63" i="1"/>
  <c r="R63" i="1"/>
  <c r="A5" i="5"/>
  <c r="A2" i="3"/>
  <c r="A3" i="2"/>
  <c r="O63" i="1"/>
  <c r="I21" i="2"/>
  <c r="I20" i="2"/>
  <c r="I19" i="2"/>
  <c r="I18" i="2"/>
  <c r="I17" i="2"/>
  <c r="I16" i="2"/>
  <c r="I15" i="2"/>
  <c r="I14" i="2"/>
  <c r="I13" i="2"/>
  <c r="I12" i="2"/>
  <c r="I11" i="2"/>
  <c r="I10" i="2"/>
  <c r="I9" i="2"/>
  <c r="H21" i="2"/>
  <c r="H20" i="2"/>
  <c r="H19" i="2"/>
  <c r="H18" i="2"/>
  <c r="H17" i="2"/>
  <c r="H16" i="2"/>
  <c r="H15" i="2"/>
  <c r="H14" i="2"/>
  <c r="H13" i="2"/>
  <c r="H12" i="2"/>
  <c r="H11" i="2"/>
  <c r="H10" i="2"/>
  <c r="H9" i="2"/>
  <c r="L82" i="3"/>
  <c r="C22" i="2"/>
  <c r="D22" i="2"/>
  <c r="E22" i="2"/>
  <c r="F22" i="2"/>
  <c r="G22" i="2"/>
  <c r="L9" i="3"/>
  <c r="L10" i="3"/>
  <c r="L11" i="3"/>
  <c r="L12" i="3"/>
  <c r="L13" i="3"/>
  <c r="L14" i="3"/>
  <c r="L8" i="3"/>
  <c r="T35" i="1"/>
  <c r="T36" i="1"/>
  <c r="T48" i="1"/>
  <c r="T52" i="1"/>
  <c r="T72" i="1"/>
  <c r="N81" i="1"/>
  <c r="S81" i="1" s="1"/>
  <c r="T81" i="1" s="1"/>
  <c r="E10" i="3"/>
  <c r="E82" i="3"/>
  <c r="F23" i="3"/>
  <c r="F86" i="3" s="1"/>
  <c r="G23" i="3"/>
  <c r="G86" i="3" s="1"/>
  <c r="H23" i="3"/>
  <c r="I23" i="3"/>
  <c r="J23" i="3"/>
  <c r="J86" i="3" s="1"/>
  <c r="K23" i="3"/>
  <c r="B22" i="2"/>
  <c r="B36" i="2"/>
  <c r="C23" i="3"/>
  <c r="E56" i="3"/>
  <c r="E15" i="3"/>
  <c r="D85" i="3"/>
  <c r="D23" i="3"/>
  <c r="E40" i="3"/>
  <c r="H86" i="3" l="1"/>
  <c r="D86" i="3"/>
  <c r="H22" i="2"/>
  <c r="Q82" i="1"/>
  <c r="L82" i="1"/>
  <c r="I82" i="1"/>
  <c r="J82" i="1"/>
  <c r="P82" i="1"/>
  <c r="M82" i="1"/>
  <c r="N40" i="1"/>
  <c r="S40" i="1" s="1"/>
  <c r="I22" i="2"/>
  <c r="O82" i="1"/>
  <c r="R82" i="1"/>
  <c r="E85" i="3"/>
  <c r="I86" i="3"/>
  <c r="N38" i="1"/>
  <c r="S38" i="1" s="1"/>
  <c r="L85" i="3"/>
  <c r="L86" i="3" s="1"/>
  <c r="N7" i="1"/>
  <c r="S7" i="1" s="1"/>
  <c r="N46" i="1"/>
  <c r="S46" i="1" s="1"/>
  <c r="H82" i="1"/>
  <c r="N63" i="1"/>
  <c r="N24" i="1"/>
  <c r="S24" i="1" s="1"/>
  <c r="B86" i="3"/>
  <c r="S12" i="1"/>
  <c r="T12" i="1" s="1"/>
  <c r="N11" i="1"/>
  <c r="S11" i="1" s="1"/>
  <c r="K82" i="1"/>
  <c r="E23" i="3"/>
  <c r="E86" i="3" l="1"/>
  <c r="N82" i="1"/>
  <c r="S63" i="1"/>
  <c r="S82" i="1" s="1"/>
  <c r="H85" i="1"/>
  <c r="H84" i="1"/>
</calcChain>
</file>

<file path=xl/comments1.xml><?xml version="1.0" encoding="utf-8"?>
<comments xmlns="http://schemas.openxmlformats.org/spreadsheetml/2006/main">
  <authors>
    <author>Rhonda B</author>
    <author>DHS-OIS-NDS</author>
  </authors>
  <commentList>
    <comment ref="B2" authorId="0" shapeId="0">
      <text>
        <r>
          <rPr>
            <b/>
            <sz val="16"/>
            <color indexed="10"/>
            <rFont val="Tahoma"/>
            <family val="2"/>
          </rPr>
          <t>Place cursor at Select and choose AAA.
Repeat for Budget Period.</t>
        </r>
      </text>
    </comment>
    <comment ref="H11" authorId="1" shapeId="0">
      <text>
        <r>
          <rPr>
            <b/>
            <sz val="8"/>
            <color indexed="81"/>
            <rFont val="Tahoma"/>
            <family val="2"/>
          </rPr>
          <t>If column is "RED" please check your entries, they must be equal to or greater than 18% of the Grand Total</t>
        </r>
      </text>
    </comment>
    <comment ref="H24" authorId="1" shapeId="0">
      <text>
        <r>
          <rPr>
            <b/>
            <sz val="8"/>
            <color indexed="81"/>
            <rFont val="Tahoma"/>
            <family val="2"/>
          </rPr>
          <t>If column is "RED" please check your entries, they must be equal to or greater than 3% of the Grand Total</t>
        </r>
      </text>
    </comment>
    <comment ref="H38" authorId="1" shapeId="0">
      <text>
        <r>
          <rPr>
            <b/>
            <sz val="8"/>
            <color indexed="81"/>
            <rFont val="Tahoma"/>
            <family val="2"/>
          </rPr>
          <t>If column is "RED" please check your entries, they must be equal to or greater than 3% of the Grand Total</t>
        </r>
        <r>
          <rPr>
            <sz val="8"/>
            <color indexed="81"/>
            <rFont val="Tahoma"/>
            <family val="2"/>
          </rPr>
          <t xml:space="preserve">
</t>
        </r>
      </text>
    </comment>
  </commentList>
</comments>
</file>

<file path=xl/sharedStrings.xml><?xml version="1.0" encoding="utf-8"?>
<sst xmlns="http://schemas.openxmlformats.org/spreadsheetml/2006/main" count="514" uniqueCount="362">
  <si>
    <t>Personal Care</t>
  </si>
  <si>
    <t>Personal Care - HCW</t>
  </si>
  <si>
    <t>Homemaker/Home Care</t>
  </si>
  <si>
    <t>Homemaker/Home Care - HCW</t>
  </si>
  <si>
    <t>Chore</t>
  </si>
  <si>
    <t>Chore - HCW</t>
  </si>
  <si>
    <t>Adult Day Care/Adult Day Health</t>
  </si>
  <si>
    <t>Case Management</t>
  </si>
  <si>
    <t>Congregate Meals</t>
  </si>
  <si>
    <t>Nutrition Counseling</t>
  </si>
  <si>
    <t>Assisted Transportation</t>
  </si>
  <si>
    <t>Transportation</t>
  </si>
  <si>
    <t>Legal Assistance</t>
  </si>
  <si>
    <t>Nutrition Education</t>
  </si>
  <si>
    <t>Information &amp; Assistance</t>
  </si>
  <si>
    <t>Outreach</t>
  </si>
  <si>
    <t>Information for Caregivers</t>
  </si>
  <si>
    <t>15a</t>
  </si>
  <si>
    <t>Information for CGs serving Children</t>
  </si>
  <si>
    <t xml:space="preserve">Caregiver Access Assistance </t>
  </si>
  <si>
    <t>16-a</t>
  </si>
  <si>
    <t xml:space="preserve">Caregiver Access Assistance-Serving Children </t>
  </si>
  <si>
    <t>20-1</t>
  </si>
  <si>
    <t>Area Plan Administration</t>
  </si>
  <si>
    <t>20-2</t>
  </si>
  <si>
    <t>AAA Advocacy</t>
  </si>
  <si>
    <t>20-3</t>
  </si>
  <si>
    <t>Program Coordination &amp; Development</t>
  </si>
  <si>
    <t>30-1</t>
  </si>
  <si>
    <t>Home Repair/Modification</t>
  </si>
  <si>
    <t>30-4</t>
  </si>
  <si>
    <t>Respite (IIIB or OPI funded)</t>
  </si>
  <si>
    <t>30-5</t>
  </si>
  <si>
    <t>Caregiver Respite</t>
  </si>
  <si>
    <t>30-5a</t>
  </si>
  <si>
    <t>Caregiver Respite for Caregivers Serving Children</t>
  </si>
  <si>
    <t>30-6</t>
  </si>
  <si>
    <t xml:space="preserve">Caregiver Support Groups </t>
  </si>
  <si>
    <t>30-6a</t>
  </si>
  <si>
    <t>30-7</t>
  </si>
  <si>
    <t xml:space="preserve">Caregiver Supplemental Services </t>
  </si>
  <si>
    <t>30-7a</t>
  </si>
  <si>
    <t>Caregiver Supplemental Services-Serving Children</t>
  </si>
  <si>
    <t>40-2</t>
  </si>
  <si>
    <t>Physical Activity &amp; Falls Prevention</t>
  </si>
  <si>
    <t>40-3</t>
  </si>
  <si>
    <t>Preventive Screening, Counseling, and  Referral</t>
  </si>
  <si>
    <t>40-4</t>
  </si>
  <si>
    <t>Mental Health Screening &amp; Referral</t>
  </si>
  <si>
    <t>40-5</t>
  </si>
  <si>
    <t>40-8</t>
  </si>
  <si>
    <t>Registered Nurse Services</t>
  </si>
  <si>
    <t>40-9</t>
  </si>
  <si>
    <t>Medication Management</t>
  </si>
  <si>
    <t>50-1</t>
  </si>
  <si>
    <t>Guardianship/Conservatorship</t>
  </si>
  <si>
    <t>50-3</t>
  </si>
  <si>
    <t>Elder Abuse Awareness and Prevention</t>
  </si>
  <si>
    <t>50-4</t>
  </si>
  <si>
    <t>50-5</t>
  </si>
  <si>
    <t>LTC Ombudsman</t>
  </si>
  <si>
    <t>Recreation</t>
  </si>
  <si>
    <t>60-3</t>
  </si>
  <si>
    <t>Reassurance</t>
  </si>
  <si>
    <t>60-4</t>
  </si>
  <si>
    <t>Volunteer Recruitment</t>
  </si>
  <si>
    <t>60-5</t>
  </si>
  <si>
    <t>Interpreting/Translation</t>
  </si>
  <si>
    <t>70-2</t>
  </si>
  <si>
    <t>Options Counseling</t>
  </si>
  <si>
    <t>70-2a</t>
  </si>
  <si>
    <t>Caregiver Counseling</t>
  </si>
  <si>
    <t>70-2b</t>
  </si>
  <si>
    <t>Caregiver Counseling-Serving Children</t>
  </si>
  <si>
    <t>70-5</t>
  </si>
  <si>
    <t>Newsletter</t>
  </si>
  <si>
    <t>70-8</t>
  </si>
  <si>
    <t>Fee-Based Case Management</t>
  </si>
  <si>
    <t>70-9</t>
  </si>
  <si>
    <t>Caregiver Training</t>
  </si>
  <si>
    <t>70-9a</t>
  </si>
  <si>
    <t>Caregiver Training - Serving Children</t>
  </si>
  <si>
    <t>70-10</t>
  </si>
  <si>
    <t>Public Outreach/Education</t>
  </si>
  <si>
    <t>Chronic Disease Prevention, Management &amp; Ed</t>
  </si>
  <si>
    <t>73a</t>
  </si>
  <si>
    <t>80-1</t>
  </si>
  <si>
    <t>Senior Center Assistance</t>
  </si>
  <si>
    <t>80-4</t>
  </si>
  <si>
    <t>Financial Assistance</t>
  </si>
  <si>
    <t>80-5</t>
  </si>
  <si>
    <t>Money Management</t>
  </si>
  <si>
    <t>80-6</t>
  </si>
  <si>
    <t>Center Renovation/Acquisition</t>
  </si>
  <si>
    <t>90-1</t>
  </si>
  <si>
    <t>Volunteer Services</t>
  </si>
  <si>
    <t>Other  (specify)</t>
  </si>
  <si>
    <t>ADMINISTRATION</t>
  </si>
  <si>
    <t>IN-HOME SERVICES</t>
  </si>
  <si>
    <t>FAMILY CAREGIVER SUPPORT</t>
  </si>
  <si>
    <t>LEGAL SERVICES</t>
  </si>
  <si>
    <t>NUTRITION SERVICES</t>
  </si>
  <si>
    <t>OAA
Total</t>
  </si>
  <si>
    <t>OAA</t>
  </si>
  <si>
    <t>SOCIAL &amp; HEALTH SERVICES</t>
  </si>
  <si>
    <t>NSIP</t>
  </si>
  <si>
    <t>OPI</t>
  </si>
  <si>
    <t>Total
Funds</t>
  </si>
  <si>
    <t>1 hour</t>
  </si>
  <si>
    <t>1 one-way trip</t>
  </si>
  <si>
    <t>1 contact</t>
  </si>
  <si>
    <t>1 client served</t>
  </si>
  <si>
    <t>1 payment</t>
  </si>
  <si>
    <t>1 meal</t>
  </si>
  <si>
    <t>Home Delivered Meals</t>
  </si>
  <si>
    <t>1 activity</t>
  </si>
  <si>
    <t>60-10</t>
  </si>
  <si>
    <t>1 center served</t>
  </si>
  <si>
    <t>1 placement</t>
  </si>
  <si>
    <t>Caregiver Support Groups Serving Children</t>
  </si>
  <si>
    <t>TOTAL</t>
  </si>
  <si>
    <t>Column Totals:</t>
  </si>
  <si>
    <t>(3)</t>
  </si>
  <si>
    <t>(4)</t>
  </si>
  <si>
    <t>(5)</t>
  </si>
  <si>
    <t>(6)</t>
  </si>
  <si>
    <t>(7)</t>
  </si>
  <si>
    <t>(8)</t>
  </si>
  <si>
    <t>(9)</t>
  </si>
  <si>
    <t>(10)</t>
  </si>
  <si>
    <t>SERVICE NAME</t>
  </si>
  <si>
    <t>Other Cash Funds</t>
  </si>
  <si>
    <t>Medicaid Funds Regular Allocation</t>
  </si>
  <si>
    <t>Medicaid Funds Local Match</t>
  </si>
  <si>
    <t>Medicaid Matched by Local Funds</t>
  </si>
  <si>
    <t>Annual Salary (excludes OPE)</t>
  </si>
  <si>
    <t>Annual OPE</t>
  </si>
  <si>
    <t>OAA Funds</t>
  </si>
  <si>
    <t>OPI Funds</t>
  </si>
  <si>
    <t>Other Funds</t>
  </si>
  <si>
    <t>Total</t>
  </si>
  <si>
    <t>(11)</t>
  </si>
  <si>
    <t>(12)</t>
  </si>
  <si>
    <t>(13)</t>
  </si>
  <si>
    <t>(14)</t>
  </si>
  <si>
    <t>(15)</t>
  </si>
  <si>
    <t>(16)</t>
  </si>
  <si>
    <r>
      <t>Estimated Units:</t>
    </r>
    <r>
      <rPr>
        <sz val="10"/>
        <rFont val="Arial"/>
        <family val="2"/>
      </rPr>
      <t xml:space="preserve"> Enter the estimated number of units of service you plan to deliver over the budget period. </t>
    </r>
  </si>
  <si>
    <r>
      <t>OAA Cash Match Source:</t>
    </r>
    <r>
      <rPr>
        <sz val="10"/>
        <rFont val="Arial"/>
        <family val="2"/>
      </rPr>
      <t xml:space="preserve"> Enter description of source .</t>
    </r>
  </si>
  <si>
    <t>FTE Worked</t>
  </si>
  <si>
    <t>T VII</t>
  </si>
  <si>
    <t>T III B</t>
  </si>
  <si>
    <t>T III C-1</t>
  </si>
  <si>
    <t>T III C-2</t>
  </si>
  <si>
    <t>T III D</t>
  </si>
  <si>
    <t>T III E</t>
  </si>
  <si>
    <r>
      <t>Service Name:</t>
    </r>
    <r>
      <rPr>
        <sz val="10"/>
        <rFont val="Arial"/>
        <family val="2"/>
      </rPr>
      <t xml:space="preserve"> This column has been entered for you, refer to document, </t>
    </r>
    <r>
      <rPr>
        <b/>
        <sz val="10"/>
        <rFont val="Arial"/>
        <family val="2"/>
      </rPr>
      <t>Service Units and Definitions for Older Americans Act and Oregon Project Independence Programs</t>
    </r>
    <r>
      <rPr>
        <sz val="10"/>
        <rFont val="Arial"/>
        <family val="2"/>
      </rPr>
      <t xml:space="preserve"> for further information.</t>
    </r>
  </si>
  <si>
    <t>TOTAL Inkind Match</t>
  </si>
  <si>
    <t>GRAND TOTAL</t>
  </si>
  <si>
    <t>OAA III E Cash Match</t>
  </si>
  <si>
    <t>Admin. Cash Match</t>
  </si>
  <si>
    <r>
      <t xml:space="preserve">OAA Total:  </t>
    </r>
    <r>
      <rPr>
        <sz val="10"/>
        <rFont val="Arial"/>
        <family val="2"/>
      </rPr>
      <t xml:space="preserve">No entry necessary, a formula will populate a total. </t>
    </r>
  </si>
  <si>
    <r>
      <t xml:space="preserve">Total Funds:  </t>
    </r>
    <r>
      <rPr>
        <sz val="10"/>
        <rFont val="Arial"/>
        <family val="2"/>
      </rPr>
      <t>No entry necessary, a formula will populate a total.</t>
    </r>
  </si>
  <si>
    <r>
      <t xml:space="preserve">Cost Per Unit: </t>
    </r>
    <r>
      <rPr>
        <sz val="10"/>
        <rFont val="Arial"/>
        <family val="2"/>
      </rPr>
      <t>No entry necessary a formula will automatically populate your cost per unit dollars.</t>
    </r>
  </si>
  <si>
    <t>III B &amp; C Cash Match</t>
  </si>
  <si>
    <t>Admin. Inkind Match</t>
  </si>
  <si>
    <t>III B &amp; C Inkind Match</t>
  </si>
  <si>
    <t>III E Inkind Match</t>
  </si>
  <si>
    <t>TOTAL Cash Match</t>
  </si>
  <si>
    <r>
      <t xml:space="preserve">Cash Match: </t>
    </r>
    <r>
      <rPr>
        <sz val="10"/>
        <rFont val="Arial"/>
        <family val="2"/>
      </rPr>
      <t>Enter the budgeted cash match by source for Area Plan Administration, Title III B&amp;C (these may be pooled) and Title III E.  All match must be from documented non-Federal sources.</t>
    </r>
  </si>
  <si>
    <r>
      <t>Total Inkind Match:</t>
    </r>
    <r>
      <rPr>
        <sz val="10"/>
        <rFont val="Arial"/>
        <family val="2"/>
      </rPr>
      <t xml:space="preserve"> No entry necessary, a formula will populate a total.</t>
    </r>
  </si>
  <si>
    <r>
      <t>Total:</t>
    </r>
    <r>
      <rPr>
        <sz val="10"/>
        <rFont val="Arial"/>
        <family val="2"/>
      </rPr>
      <t xml:space="preserve"> No entry necessary, a formula will populate a total.</t>
    </r>
  </si>
  <si>
    <t>Position
Title</t>
  </si>
  <si>
    <r>
      <t xml:space="preserve">Annual Salary:  </t>
    </r>
    <r>
      <rPr>
        <sz val="10"/>
        <rFont val="Arial"/>
        <family val="2"/>
      </rPr>
      <t>Enter the total annual salary budgeted by position title, include only wages.</t>
    </r>
  </si>
  <si>
    <r>
      <t>Total</t>
    </r>
    <r>
      <rPr>
        <sz val="10"/>
        <rFont val="Arial"/>
        <family val="2"/>
      </rPr>
      <t>:  No entry necessary, a formula will populate a total.</t>
    </r>
  </si>
  <si>
    <t>Estimated Cost Per Unit</t>
  </si>
  <si>
    <r>
      <t>Inkind Match:</t>
    </r>
    <r>
      <rPr>
        <sz val="10"/>
        <rFont val="Arial"/>
        <family val="2"/>
      </rPr>
      <t xml:space="preserve"> (non-cash resources and contributions received and utilized to support services authorized by the OAA) Enter the budgeted inkind match by source for Area Plan Administration, Title III B&amp;C (these may be pooled) and Title III E.  Inkind resources are defined as property or services donated by non-federal third parties to an AAA or its contractors for services authorized by the OAA.</t>
    </r>
  </si>
  <si>
    <t>Budget by Service Category</t>
  </si>
  <si>
    <t>Matrix</t>
  </si>
  <si>
    <t>Comments
Explanation</t>
  </si>
  <si>
    <t>1 center acqrd/renovated</t>
  </si>
  <si>
    <t>Estimated
Units</t>
  </si>
  <si>
    <t>Unit
 Definition</t>
  </si>
  <si>
    <t>1a</t>
  </si>
  <si>
    <t>2a</t>
  </si>
  <si>
    <t>3a</t>
  </si>
  <si>
    <t>Cash Match/In-kind Match</t>
  </si>
  <si>
    <t>Notes/Comments</t>
  </si>
  <si>
    <t>DIRECT SERVICES POSITIONS</t>
  </si>
  <si>
    <t>ADMINISTRATIVE POSITIONS</t>
  </si>
  <si>
    <t>Breakout of funding sources</t>
  </si>
  <si>
    <t>Office Specialist 2</t>
  </si>
  <si>
    <t>Human Services Specialist 3</t>
  </si>
  <si>
    <t>Adult Protective Services Specialist</t>
  </si>
  <si>
    <t>Principal Executive Manager C</t>
  </si>
  <si>
    <r>
      <t>Contract or Direct Provide:</t>
    </r>
    <r>
      <rPr>
        <sz val="10"/>
        <rFont val="Arial"/>
        <family val="2"/>
      </rPr>
      <t xml:space="preserve"> Enter "C" if the service is contracted or "D" if the service is provided directly by the AAA.  If the service is both contracted and direct enter, "C/D".</t>
    </r>
  </si>
  <si>
    <r>
      <t>Estimated Persons Served:</t>
    </r>
    <r>
      <rPr>
        <sz val="10"/>
        <rFont val="Arial"/>
        <family val="2"/>
      </rPr>
      <t xml:space="preserve"> Enter the estimated number of unduplicated persons you expect to serve.</t>
    </r>
  </si>
  <si>
    <r>
      <t>NSIP:</t>
    </r>
    <r>
      <rPr>
        <sz val="10"/>
        <rFont val="Arial"/>
        <family val="2"/>
      </rPr>
      <t xml:space="preserve"> Enter  projected expenditures on the appropriate service line.</t>
    </r>
  </si>
  <si>
    <r>
      <t>Other Cash Funds:</t>
    </r>
    <r>
      <rPr>
        <sz val="10"/>
        <rFont val="Arial"/>
        <family val="2"/>
      </rPr>
      <t xml:space="preserve"> Enter projected expenditures (including program income) on the appropriate service line. </t>
    </r>
  </si>
  <si>
    <r>
      <t>OPI:</t>
    </r>
    <r>
      <rPr>
        <sz val="10"/>
        <rFont val="Arial"/>
        <family val="2"/>
      </rPr>
      <t xml:space="preserve"> Enter projected expenditures on the appropriate service line.</t>
    </r>
  </si>
  <si>
    <r>
      <t>Comments/Explanation:</t>
    </r>
    <r>
      <rPr>
        <sz val="10"/>
        <rFont val="Arial"/>
        <family val="2"/>
      </rPr>
      <t xml:space="preserve"> If needed for clarity, enter the explanation of fund or other services on appropriate service line.</t>
    </r>
  </si>
  <si>
    <t>Contract
or
Direct
Provide</t>
  </si>
  <si>
    <t>Unit
Definition</t>
  </si>
  <si>
    <t>Estimated
Clients</t>
  </si>
  <si>
    <r>
      <t>Total Cash:</t>
    </r>
    <r>
      <rPr>
        <sz val="10"/>
        <rFont val="Arial"/>
        <family val="2"/>
      </rPr>
      <t xml:space="preserve"> No entry necessary, a formula will populate a total.</t>
    </r>
  </si>
  <si>
    <r>
      <rPr>
        <b/>
        <sz val="9"/>
        <rFont val="Arial"/>
        <family val="2"/>
      </rPr>
      <t>Medicaid Local Match Source:</t>
    </r>
    <r>
      <rPr>
        <sz val="9"/>
        <rFont val="Arial"/>
        <family val="2"/>
      </rPr>
      <t xml:space="preserve"> Enter description of non-federal source contributing match funds.</t>
    </r>
  </si>
  <si>
    <t>SOURCE OF MEDICAID LOCAL MATCH FUNDS</t>
  </si>
  <si>
    <r>
      <t xml:space="preserve">Position Name:  </t>
    </r>
    <r>
      <rPr>
        <sz val="10"/>
        <rFont val="Arial"/>
        <family val="2"/>
      </rPr>
      <t>Enter all AAA-related position titles (e.g. Executive Director, Case Manager etc. - no names.)</t>
    </r>
  </si>
  <si>
    <r>
      <t xml:space="preserve">Annual OPE:  </t>
    </r>
    <r>
      <rPr>
        <sz val="10"/>
        <rFont val="Arial"/>
        <family val="2"/>
      </rPr>
      <t>Enter the total annual other payroll expenses budgeted by position title.  OPE includes employer costs such as retirement, health insurance, worker compensation insurance etc.</t>
    </r>
  </si>
  <si>
    <r>
      <t xml:space="preserve">FTE :  </t>
    </r>
    <r>
      <rPr>
        <sz val="10"/>
        <rFont val="Arial"/>
        <family val="2"/>
      </rPr>
      <t>Enter the # of FTE per position title.  1.0 FTE = a position funded for 2080 hours per year.</t>
    </r>
  </si>
  <si>
    <t>Pre-Admission Screening</t>
  </si>
  <si>
    <t>Compliance Specialist 2 (AFH Licen.)</t>
  </si>
  <si>
    <t>Area Agency on Aging 
Position Title (if applicable)</t>
  </si>
  <si>
    <t>Admin Specialist 1</t>
  </si>
  <si>
    <t>Principal Executive Manager D</t>
  </si>
  <si>
    <t>Principal Executive Manager E</t>
  </si>
  <si>
    <t>Principal Executive Manager F</t>
  </si>
  <si>
    <t>APD Position Titles</t>
  </si>
  <si>
    <t>(17)</t>
  </si>
  <si>
    <t>Other State-provided Funds</t>
  </si>
  <si>
    <t>Health, Medical &amp; Technical Assistance Equip.</t>
  </si>
  <si>
    <t>Self-Directed Care</t>
  </si>
  <si>
    <t>Caregiver Self-Directed Care</t>
  </si>
  <si>
    <t>Caregiver Self-Directed Care-Serving Children</t>
  </si>
  <si>
    <t>Select AAA Name</t>
  </si>
  <si>
    <t>Select Budget Period</t>
  </si>
  <si>
    <t>BUDGET PERIOD:  7.1.2016 - 6.30.2017  Area Plan Year 1</t>
  </si>
  <si>
    <t>BUDGET PERIOD:  7.1.2017 - 6.30.2018  Area Plan Year 2</t>
  </si>
  <si>
    <t>BUDGET PERIOD:  7.1.2018 - 6.30.2019  Area Plan Year 3</t>
  </si>
  <si>
    <t>BUDGET PERIOD:  7.1.2019 - 6.30.2020  Area Plan Year 4</t>
  </si>
  <si>
    <t>1 session</t>
  </si>
  <si>
    <t>1 loan/payment</t>
  </si>
  <si>
    <r>
      <t xml:space="preserve">SOURCE OF OAA CASH &amp; INKIND MATCH FUNDS
</t>
    </r>
    <r>
      <rPr>
        <b/>
        <sz val="12"/>
        <color indexed="10"/>
        <rFont val="Arial"/>
        <family val="2"/>
      </rPr>
      <t>Be descriptive (e.g. Donated dining space @ SC)</t>
    </r>
  </si>
  <si>
    <t>C</t>
  </si>
  <si>
    <t>Number
of
FTE Vacant</t>
  </si>
  <si>
    <t>Number
 of
FTE Allocated</t>
  </si>
  <si>
    <t>Number 
of
FTE Employed</t>
  </si>
  <si>
    <t>Total Salary
+ OPE</t>
  </si>
  <si>
    <t>Total Salary
 + OPE</t>
  </si>
  <si>
    <t>Community Action Program of East Central Oregon (CAPECO)</t>
  </si>
  <si>
    <t>Community Action Team (CAT)</t>
  </si>
  <si>
    <t>Community Connection of Northeast Oregon (CCNO)</t>
  </si>
  <si>
    <t>Clackamas County Social Services (CCSS)</t>
  </si>
  <si>
    <t>Douglas County Senior Services Division (DCSSD)</t>
  </si>
  <si>
    <t>Harney County Senior &amp; Community Services Center (HCSCS)</t>
  </si>
  <si>
    <t>Klamath &amp; Lake Counties Council on Aging (KLCCOA)</t>
  </si>
  <si>
    <t>Lane Council of Governments Senior &amp; Disabled Services (LCOG)</t>
  </si>
  <si>
    <t>Multnomah County Aging, Disability &amp; Veterans Services Dept (MCADVSD)</t>
  </si>
  <si>
    <t>Mid-Columbia Council of Governments (MCCOG)</t>
  </si>
  <si>
    <t>Malheur Council on Aging &amp; Community Services (MCOACS)</t>
  </si>
  <si>
    <t>NorthWest Senior &amp; Disability Services (NWSDS)</t>
  </si>
  <si>
    <t>Oregon Cascades West Council of Governments Senior &amp; Disabled Srvcs (OCWCOG)</t>
  </si>
  <si>
    <t>Rogue Valley Council of Governments Senior &amp; Disabled Srvcs (RVCOG)</t>
  </si>
  <si>
    <t>South Coast Business Employment Corporation (SCBEC)</t>
  </si>
  <si>
    <t>Washington County Disability, Aging &amp; Veteran Services (WCDAVS)</t>
  </si>
  <si>
    <r>
      <rPr>
        <b/>
        <sz val="14"/>
        <color indexed="10"/>
        <rFont val="Arial"/>
        <family val="2"/>
      </rPr>
      <t>*</t>
    </r>
    <r>
      <rPr>
        <sz val="14"/>
        <rFont val="Arial"/>
        <family val="2"/>
      </rPr>
      <t xml:space="preserve"> Reported in annual 1915(c) waiver report</t>
    </r>
  </si>
  <si>
    <t>ADMINISTRATIVE TOTAL</t>
  </si>
  <si>
    <t>Number 
of
FTE
Employed</t>
  </si>
  <si>
    <t>Medicaid/OAA/OPI Staffing Plan</t>
  </si>
  <si>
    <t xml:space="preserve">Allocated Medicaid Staffing               </t>
  </si>
  <si>
    <t>Medicaid Positions 
and Title
(in addition to APD
 allocated positions)</t>
  </si>
  <si>
    <t>This form should only be completed by Type B Area Agencies on Aging.  Please provide the equivalent AAA position title that corresponds with APD position title for which your AAA receives Medicaid funding.</t>
  </si>
  <si>
    <r>
      <t>AAA Position Title:</t>
    </r>
    <r>
      <rPr>
        <sz val="9"/>
        <rFont val="Arial"/>
        <family val="2"/>
      </rPr>
      <t xml:space="preserve"> If position title is different than title APD calls it.</t>
    </r>
  </si>
  <si>
    <r>
      <t xml:space="preserve">Total:  </t>
    </r>
    <r>
      <rPr>
        <sz val="10"/>
        <rFont val="Arial"/>
        <family val="2"/>
      </rPr>
      <t>Formula to auto populate.</t>
    </r>
  </si>
  <si>
    <t>C = Contract
D = Direct 
Provision</t>
  </si>
  <si>
    <r>
      <t xml:space="preserve">OAA: </t>
    </r>
    <r>
      <rPr>
        <sz val="10"/>
        <rFont val="Arial"/>
        <family val="2"/>
      </rPr>
      <t>Enter the projected budget for each funding source of OAA by service line. Include both new and when applicable include unspent prior biennial funds in these columns.  Access Services must total at least 18% of your total IIIB budget, In-Home Services must total at least 3% of your total IIIB budget and Legal Services must total at least 3% of your total IIIB budget.  NOTE: Any service with Title IIID funds intended as the funding source must meet the highest criteria for Evidenced-Based programs.</t>
    </r>
  </si>
  <si>
    <r>
      <rPr>
        <b/>
        <sz val="10"/>
        <rFont val="Arial"/>
        <family val="2"/>
      </rPr>
      <t>Other State-provided Funds:</t>
    </r>
    <r>
      <rPr>
        <sz val="10"/>
        <rFont val="Arial"/>
        <family val="2"/>
      </rPr>
      <t xml:space="preserve"> Enter projected expenditures on the appropriate service line.</t>
    </r>
  </si>
  <si>
    <t>8-13</t>
  </si>
  <si>
    <r>
      <t>Name:</t>
    </r>
    <r>
      <rPr>
        <sz val="10"/>
        <rFont val="Arial"/>
        <family val="2"/>
      </rPr>
      <t xml:space="preserve"> Select the name of your Area Agency on Aging. </t>
    </r>
  </si>
  <si>
    <r>
      <t xml:space="preserve">Budget Period: </t>
    </r>
    <r>
      <rPr>
        <sz val="10"/>
        <rFont val="Arial"/>
        <family val="2"/>
      </rPr>
      <t>Select FY</t>
    </r>
  </si>
  <si>
    <r>
      <t>Service Unit Definition:</t>
    </r>
    <r>
      <rPr>
        <sz val="10"/>
        <rFont val="Arial"/>
        <family val="2"/>
      </rPr>
      <t xml:space="preserve"> Fields entered except for the "900" matrix code.  Describe.</t>
    </r>
  </si>
  <si>
    <r>
      <t>Matrix #:</t>
    </r>
    <r>
      <rPr>
        <sz val="10"/>
        <rFont val="Arial"/>
        <family val="2"/>
      </rPr>
      <t xml:space="preserve"> Matrix numbers have been entered for you, refer to </t>
    </r>
    <r>
      <rPr>
        <b/>
        <i/>
        <sz val="10"/>
        <rFont val="Arial"/>
        <family val="2"/>
      </rPr>
      <t>Service Units and Definitions for Older Americans Act and Oregon Project Independence Programs</t>
    </r>
    <r>
      <rPr>
        <sz val="10"/>
        <rFont val="Arial"/>
        <family val="2"/>
      </rPr>
      <t xml:space="preserve"> for further information.</t>
    </r>
  </si>
  <si>
    <r>
      <rPr>
        <b/>
        <sz val="10"/>
        <rFont val="Arial"/>
        <family val="2"/>
      </rPr>
      <t>Name:</t>
    </r>
    <r>
      <rPr>
        <sz val="10"/>
        <rFont val="Arial"/>
        <family val="2"/>
      </rPr>
      <t xml:space="preserve"> Auto-populates from Budget page.</t>
    </r>
  </si>
  <si>
    <r>
      <t>Budget Period:</t>
    </r>
    <r>
      <rPr>
        <sz val="10"/>
        <rFont val="Arial"/>
        <family val="2"/>
      </rPr>
      <t xml:space="preserve"> Auto-populates from Budget page.</t>
    </r>
  </si>
  <si>
    <r>
      <t xml:space="preserve">Name: </t>
    </r>
    <r>
      <rPr>
        <sz val="10"/>
        <rFont val="Arial"/>
        <family val="2"/>
      </rPr>
      <t>Auto-populates from Budget page.</t>
    </r>
  </si>
  <si>
    <t>5-9</t>
  </si>
  <si>
    <t>Instructions for Cash &amp; In-Kind Match Worksheet</t>
  </si>
  <si>
    <t>Instructions for Medicaid-OAA-OPI Staffing Plan Worksheet</t>
  </si>
  <si>
    <t>Instructions for Allocated Medicaid Staffing Worksheet</t>
  </si>
  <si>
    <t>Instructions for Budget by Service Category Worksheet</t>
  </si>
  <si>
    <t>Area Plan Budget, Worksheet 1</t>
  </si>
  <si>
    <t>Area Plan Budget, Worksheet 2</t>
  </si>
  <si>
    <t>Area Plan Budget, Worksheet 3</t>
  </si>
  <si>
    <t>Area Plan Budget, Worksheet 4</t>
  </si>
  <si>
    <r>
      <t xml:space="preserve">Diversion Case Manager </t>
    </r>
    <r>
      <rPr>
        <b/>
        <sz val="14"/>
        <color indexed="10"/>
        <rFont val="Arial"/>
        <family val="2"/>
      </rPr>
      <t>*</t>
    </r>
  </si>
  <si>
    <t>Human Services Assistant 2</t>
  </si>
  <si>
    <r>
      <t xml:space="preserve">Human Services Case Manager </t>
    </r>
    <r>
      <rPr>
        <b/>
        <sz val="14"/>
        <color indexed="10"/>
        <rFont val="Arial"/>
        <family val="2"/>
      </rPr>
      <t>*</t>
    </r>
  </si>
  <si>
    <r>
      <t xml:space="preserve">Transition Case Manager </t>
    </r>
    <r>
      <rPr>
        <b/>
        <sz val="14"/>
        <color indexed="10"/>
        <rFont val="Arial"/>
        <family val="2"/>
      </rPr>
      <t>*</t>
    </r>
  </si>
  <si>
    <t>Diversion Case Manager</t>
  </si>
  <si>
    <t>Human Services Case Manager</t>
  </si>
  <si>
    <t>Transition Case Manager</t>
  </si>
  <si>
    <r>
      <t>Funding Source/Amount:</t>
    </r>
    <r>
      <rPr>
        <sz val="10"/>
        <rFont val="Arial"/>
        <family val="2"/>
      </rPr>
      <t xml:space="preserve"> Enter the total annual amount budgeted for each funding source used to support position.</t>
    </r>
  </si>
  <si>
    <r>
      <t>Number of FTE Employed:</t>
    </r>
    <r>
      <rPr>
        <sz val="9"/>
        <rFont val="Arial"/>
        <family val="2"/>
      </rPr>
      <t xml:space="preserve">  Enter the # of FTE per position title.  (1.0 FTE = a position funded for 2080 hrs) </t>
    </r>
  </si>
  <si>
    <r>
      <t xml:space="preserve">Any </t>
    </r>
    <r>
      <rPr>
        <b/>
        <sz val="9"/>
        <rFont val="Arial"/>
        <family val="2"/>
      </rPr>
      <t>Medicaid</t>
    </r>
    <r>
      <rPr>
        <b/>
        <i/>
        <sz val="9"/>
        <rFont val="Arial"/>
        <family val="2"/>
      </rPr>
      <t xml:space="preserve"> positions in addition</t>
    </r>
    <r>
      <rPr>
        <b/>
        <sz val="9"/>
        <rFont val="Arial"/>
        <family val="2"/>
      </rPr>
      <t xml:space="preserve"> to the APD allocated positions</t>
    </r>
    <r>
      <rPr>
        <sz val="9"/>
        <rFont val="Arial"/>
        <family val="2"/>
      </rPr>
      <t xml:space="preserve"> are to be entered here and the FTE for that position in column 6 to the right of the position title.</t>
    </r>
  </si>
  <si>
    <t>5-6</t>
  </si>
  <si>
    <t>DIRECT SERVICES TOTAL</t>
  </si>
  <si>
    <t xml:space="preserve">ACCESS SERVICES - </t>
  </si>
  <si>
    <t>* All sections including units needs to be filled out.</t>
  </si>
  <si>
    <t xml:space="preserve"> </t>
  </si>
  <si>
    <t>Council on Aging of Central Oregon  (COACO)</t>
  </si>
  <si>
    <t>Multnomah County General Fund</t>
  </si>
  <si>
    <t>City of Troutdale</t>
  </si>
  <si>
    <t>City of Fairview</t>
  </si>
  <si>
    <t>Program income-contracts</t>
  </si>
  <si>
    <t>Contacts (inkind)</t>
  </si>
  <si>
    <t xml:space="preserve">lease revenue-senior ctr </t>
  </si>
  <si>
    <t>State funds</t>
  </si>
  <si>
    <t>Mult County General Fund Match</t>
  </si>
  <si>
    <t>Local Fees</t>
  </si>
  <si>
    <t>local source</t>
  </si>
  <si>
    <t>Computer Replacement and Related IT Equip</t>
  </si>
  <si>
    <t>Prog Mgr 1</t>
  </si>
  <si>
    <t>Office Asst Sr</t>
  </si>
  <si>
    <t>Admin Ayst</t>
  </si>
  <si>
    <t xml:space="preserve">Budget Ayst </t>
  </si>
  <si>
    <t>Re Ayst Sr</t>
  </si>
  <si>
    <t>Data Analyst Senior</t>
  </si>
  <si>
    <t>Division Director</t>
  </si>
  <si>
    <t xml:space="preserve">Admin Ayst </t>
  </si>
  <si>
    <t>Admin Ayst Senior</t>
  </si>
  <si>
    <t>Case Mgr 1</t>
  </si>
  <si>
    <t>Case Mgr 2</t>
  </si>
  <si>
    <t xml:space="preserve">Case Mgr Sr </t>
  </si>
  <si>
    <t>Case Mgr Assist</t>
  </si>
  <si>
    <t>Clerical Unit Coordinator</t>
  </si>
  <si>
    <t>Clinical Services Specialist</t>
  </si>
  <si>
    <t>Com Info Spec</t>
  </si>
  <si>
    <t>Comm Health Nurse</t>
  </si>
  <si>
    <t>Data Analyst</t>
  </si>
  <si>
    <t>Deputy PG</t>
  </si>
  <si>
    <t>Eligibility Spec</t>
  </si>
  <si>
    <t>Human Services Investigator</t>
  </si>
  <si>
    <t>Office Assistant 2</t>
  </si>
  <si>
    <t>Office Assistant Senior</t>
  </si>
  <si>
    <t>Operations Process Specialist</t>
  </si>
  <si>
    <t>Prog Mgr 2</t>
  </si>
  <si>
    <t>Program Manager Senior</t>
  </si>
  <si>
    <t>Program Supervisor</t>
  </si>
  <si>
    <t>Program Coordinator</t>
  </si>
  <si>
    <t>Program Manager 1</t>
  </si>
  <si>
    <t>Program Specialist</t>
  </si>
  <si>
    <t xml:space="preserve">Program Specialist Sr </t>
  </si>
  <si>
    <t>Program Tech</t>
  </si>
  <si>
    <t>Veterans Services Officer</t>
  </si>
  <si>
    <t>C &amp; D</t>
  </si>
  <si>
    <t>D</t>
  </si>
  <si>
    <t>In-Kind</t>
  </si>
  <si>
    <t>Crime Prevention/Home Safety</t>
  </si>
  <si>
    <t>Principal Executive Manager A</t>
  </si>
  <si>
    <t>Budget Analyst, Admin Analyst, Data analyst, REA Sr</t>
  </si>
  <si>
    <t>HIS, CSS</t>
  </si>
  <si>
    <t>CMA</t>
  </si>
  <si>
    <t>CM 2, CM Sr, PS</t>
  </si>
  <si>
    <t>CM1, ES</t>
  </si>
  <si>
    <t>Prog Tech, Admin Analyst</t>
  </si>
  <si>
    <t>Prog Supervisor</t>
  </si>
  <si>
    <t>Prog Manager 1</t>
  </si>
  <si>
    <t>Program Manager 2/Sr</t>
  </si>
  <si>
    <t>Director</t>
  </si>
  <si>
    <t>OA 2, OA Sr, Prog Tech</t>
  </si>
  <si>
    <t xml:space="preserve"> 20 documented activities in FY 16. Error in previous reporting. Reduction in Gatekeeper funding has impacted activity level. </t>
  </si>
  <si>
    <t xml:space="preserve">Reporting clients screened for OMMP.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</si>
</sst>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quot;$&quot;#,##0"/>
    <numFmt numFmtId="165" formatCode="&quot;$&quot;#,##0.00"/>
    <numFmt numFmtId="166" formatCode="000"/>
    <numFmt numFmtId="167" formatCode="0.0"/>
  </numFmts>
  <fonts count="34" x14ac:knownFonts="1">
    <font>
      <sz val="9"/>
      <name val="Arial"/>
    </font>
    <font>
      <sz val="10"/>
      <color theme="1"/>
      <name val="Arial"/>
      <family val="2"/>
    </font>
    <font>
      <sz val="10"/>
      <name val="Arial"/>
      <family val="2"/>
    </font>
    <font>
      <sz val="9"/>
      <name val="Arial"/>
      <family val="2"/>
    </font>
    <font>
      <b/>
      <sz val="10"/>
      <name val="Arial"/>
      <family val="2"/>
    </font>
    <font>
      <sz val="8"/>
      <name val="Arial"/>
      <family val="2"/>
    </font>
    <font>
      <b/>
      <sz val="10"/>
      <name val="Arial"/>
      <family val="2"/>
    </font>
    <font>
      <b/>
      <sz val="11"/>
      <name val="Arial"/>
      <family val="2"/>
    </font>
    <font>
      <b/>
      <sz val="9"/>
      <name val="Arial"/>
      <family val="2"/>
    </font>
    <font>
      <sz val="10"/>
      <name val="Arial"/>
      <family val="2"/>
    </font>
    <font>
      <sz val="8"/>
      <name val="Arial"/>
      <family val="2"/>
    </font>
    <font>
      <sz val="8"/>
      <color indexed="81"/>
      <name val="Tahoma"/>
      <family val="2"/>
    </font>
    <font>
      <b/>
      <sz val="8"/>
      <color indexed="81"/>
      <name val="Tahoma"/>
      <family val="2"/>
    </font>
    <font>
      <b/>
      <sz val="12"/>
      <name val="Arial"/>
      <family val="2"/>
    </font>
    <font>
      <sz val="12"/>
      <name val="Arial"/>
      <family val="2"/>
    </font>
    <font>
      <sz val="12"/>
      <color indexed="55"/>
      <name val="Arial"/>
      <family val="2"/>
    </font>
    <font>
      <sz val="12"/>
      <name val="Arial Narrow"/>
      <family val="2"/>
    </font>
    <font>
      <sz val="11"/>
      <name val="Arial Narrow"/>
      <family val="2"/>
    </font>
    <font>
      <b/>
      <sz val="11"/>
      <name val="Arial Narrow"/>
      <family val="2"/>
    </font>
    <font>
      <b/>
      <sz val="14"/>
      <name val="Arial"/>
      <family val="2"/>
    </font>
    <font>
      <sz val="14"/>
      <name val="Arial"/>
      <family val="2"/>
    </font>
    <font>
      <sz val="14"/>
      <name val="Arial Narrow"/>
      <family val="2"/>
    </font>
    <font>
      <strike/>
      <sz val="14"/>
      <name val="Arial Narrow"/>
      <family val="2"/>
    </font>
    <font>
      <sz val="18"/>
      <name val="Arial"/>
      <family val="2"/>
    </font>
    <font>
      <b/>
      <sz val="24"/>
      <name val="Arial"/>
      <family val="2"/>
    </font>
    <font>
      <b/>
      <sz val="12"/>
      <color indexed="10"/>
      <name val="Arial"/>
      <family val="2"/>
    </font>
    <font>
      <b/>
      <sz val="14"/>
      <color indexed="10"/>
      <name val="Arial"/>
      <family val="2"/>
    </font>
    <font>
      <b/>
      <sz val="16"/>
      <color indexed="10"/>
      <name val="Tahoma"/>
      <family val="2"/>
    </font>
    <font>
      <b/>
      <i/>
      <sz val="9"/>
      <name val="Arial"/>
      <family val="2"/>
    </font>
    <font>
      <b/>
      <i/>
      <sz val="10"/>
      <name val="Arial"/>
      <family val="2"/>
    </font>
    <font>
      <b/>
      <sz val="14"/>
      <color rgb="FFFF0000"/>
      <name val="Arial"/>
      <family val="2"/>
    </font>
    <font>
      <sz val="9"/>
      <name val="Arial"/>
      <family val="2"/>
    </font>
    <font>
      <sz val="11"/>
      <color rgb="FF0000FF"/>
      <name val="Arial"/>
      <family val="2"/>
    </font>
    <font>
      <sz val="12"/>
      <color rgb="FF222222"/>
      <name val="Arial"/>
      <family val="2"/>
    </font>
  </fonts>
  <fills count="2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65"/>
        <bgColor indexed="64"/>
      </patternFill>
    </fill>
    <fill>
      <patternFill patternType="solid">
        <fgColor indexed="45"/>
        <bgColor indexed="64"/>
      </patternFill>
    </fill>
    <fill>
      <patternFill patternType="solid">
        <fgColor indexed="44"/>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3FFFF"/>
        <bgColor indexed="64"/>
      </patternFill>
    </fill>
    <fill>
      <patternFill patternType="solid">
        <fgColor theme="9" tint="0.59999389629810485"/>
        <bgColor indexed="64"/>
      </patternFill>
    </fill>
    <fill>
      <patternFill patternType="solid">
        <fgColor rgb="FFCBFBFD"/>
        <bgColor indexed="64"/>
      </patternFill>
    </fill>
    <fill>
      <patternFill patternType="solid">
        <fgColor rgb="FFC9FFFF"/>
        <bgColor indexed="64"/>
      </patternFill>
    </fill>
    <fill>
      <patternFill patternType="solid">
        <fgColor rgb="FF92D050"/>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thick">
        <color indexed="64"/>
      </top>
      <bottom style="thin">
        <color indexed="64"/>
      </bottom>
      <diagonal/>
    </border>
    <border>
      <left style="medium">
        <color indexed="64"/>
      </left>
      <right/>
      <top/>
      <bottom/>
      <diagonal/>
    </border>
    <border>
      <left style="thin">
        <color indexed="64"/>
      </left>
      <right/>
      <top/>
      <bottom style="thick">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s>
  <cellStyleXfs count="4">
    <xf numFmtId="0" fontId="0" fillId="0" borderId="0">
      <alignment vertical="top"/>
    </xf>
    <xf numFmtId="0" fontId="2" fillId="0" borderId="0"/>
    <xf numFmtId="43" fontId="31" fillId="0" borderId="0" applyFont="0" applyFill="0" applyBorder="0" applyAlignment="0" applyProtection="0"/>
    <xf numFmtId="0" fontId="2" fillId="0" borderId="0"/>
  </cellStyleXfs>
  <cellXfs count="442">
    <xf numFmtId="0" fontId="0" fillId="0" borderId="0" xfId="0">
      <alignment vertical="top"/>
    </xf>
    <xf numFmtId="0" fontId="6" fillId="0" borderId="0" xfId="1" applyFont="1" applyAlignment="1" applyProtection="1">
      <protection locked="0"/>
    </xf>
    <xf numFmtId="0" fontId="2" fillId="0" borderId="0" xfId="1" applyProtection="1">
      <protection locked="0"/>
    </xf>
    <xf numFmtId="0" fontId="10" fillId="0" borderId="0" xfId="1" applyFont="1" applyAlignment="1" applyProtection="1">
      <alignment horizontal="center"/>
      <protection locked="0"/>
    </xf>
    <xf numFmtId="0" fontId="5" fillId="0" borderId="0" xfId="1" applyFont="1" applyAlignment="1" applyProtection="1">
      <alignment horizontal="center"/>
      <protection locked="0"/>
    </xf>
    <xf numFmtId="0" fontId="0" fillId="0" borderId="0" xfId="0" applyBorder="1" applyAlignment="1">
      <alignment horizontal="center" vertical="top"/>
    </xf>
    <xf numFmtId="0" fontId="0" fillId="0" borderId="0" xfId="0" applyBorder="1" applyAlignment="1">
      <alignment vertical="top" wrapText="1"/>
    </xf>
    <xf numFmtId="0" fontId="2" fillId="0" borderId="1" xfId="0" applyFont="1" applyBorder="1" applyAlignment="1">
      <alignment horizontal="center" vertical="center"/>
    </xf>
    <xf numFmtId="0" fontId="4" fillId="0" borderId="1" xfId="0" applyFont="1" applyBorder="1" applyAlignment="1">
      <alignment vertical="top" wrapText="1"/>
    </xf>
    <xf numFmtId="0" fontId="6" fillId="0" borderId="1" xfId="0" applyFont="1" applyBorder="1" applyAlignment="1">
      <alignment vertical="top" wrapText="1"/>
    </xf>
    <xf numFmtId="0" fontId="0" fillId="0" borderId="0" xfId="0" applyBorder="1">
      <alignment vertical="top"/>
    </xf>
    <xf numFmtId="164" fontId="14" fillId="0" borderId="0" xfId="0" applyNumberFormat="1" applyFont="1" applyProtection="1">
      <alignment vertical="top"/>
      <protection locked="0"/>
    </xf>
    <xf numFmtId="164" fontId="14" fillId="0" borderId="0" xfId="0" applyNumberFormat="1" applyFont="1" applyFill="1" applyProtection="1">
      <alignment vertical="top"/>
      <protection locked="0"/>
    </xf>
    <xf numFmtId="165" fontId="14" fillId="0" borderId="0" xfId="0" applyNumberFormat="1" applyFont="1" applyProtection="1">
      <alignment vertical="top"/>
      <protection locked="0"/>
    </xf>
    <xf numFmtId="0" fontId="14" fillId="0" borderId="0" xfId="0" applyFont="1" applyProtection="1">
      <alignment vertical="top"/>
      <protection locked="0"/>
    </xf>
    <xf numFmtId="0" fontId="14" fillId="0" borderId="0" xfId="0" applyFont="1" applyBorder="1" applyProtection="1">
      <alignment vertical="top"/>
      <protection locked="0"/>
    </xf>
    <xf numFmtId="0" fontId="14" fillId="0" borderId="0" xfId="0" applyFont="1" applyFill="1" applyBorder="1" applyAlignment="1" applyProtection="1">
      <alignment horizontal="center"/>
      <protection locked="0"/>
    </xf>
    <xf numFmtId="0" fontId="14" fillId="0" borderId="0" xfId="0" applyFont="1" applyFill="1" applyBorder="1" applyProtection="1">
      <alignment vertical="top"/>
      <protection locked="0"/>
    </xf>
    <xf numFmtId="0" fontId="14" fillId="0" borderId="0" xfId="0" applyFont="1" applyFill="1" applyAlignment="1" applyProtection="1">
      <alignment horizontal="center" vertical="top"/>
      <protection locked="0"/>
    </xf>
    <xf numFmtId="164" fontId="14" fillId="0" borderId="7" xfId="0" applyNumberFormat="1" applyFont="1" applyBorder="1" applyProtection="1">
      <alignment vertical="top"/>
      <protection locked="0"/>
    </xf>
    <xf numFmtId="164" fontId="14" fillId="0" borderId="10" xfId="0" applyNumberFormat="1" applyFont="1" applyBorder="1" applyProtection="1">
      <alignment vertical="top"/>
      <protection locked="0"/>
    </xf>
    <xf numFmtId="164" fontId="14" fillId="0" borderId="1" xfId="0" applyNumberFormat="1" applyFont="1" applyBorder="1" applyProtection="1">
      <alignment vertical="top"/>
      <protection locked="0"/>
    </xf>
    <xf numFmtId="164" fontId="14" fillId="0" borderId="1" xfId="0" applyNumberFormat="1" applyFont="1" applyFill="1" applyBorder="1" applyProtection="1">
      <alignment vertical="top"/>
      <protection locked="0"/>
    </xf>
    <xf numFmtId="164" fontId="14" fillId="0" borderId="10" xfId="0" applyNumberFormat="1" applyFont="1" applyFill="1" applyBorder="1" applyProtection="1">
      <alignment vertical="top"/>
      <protection locked="0"/>
    </xf>
    <xf numFmtId="164" fontId="14" fillId="0" borderId="14" xfId="0" applyNumberFormat="1" applyFont="1" applyFill="1" applyBorder="1" applyProtection="1">
      <alignment vertical="top"/>
      <protection locked="0"/>
    </xf>
    <xf numFmtId="164" fontId="14" fillId="0" borderId="16" xfId="0" applyNumberFormat="1" applyFont="1" applyFill="1" applyBorder="1" applyProtection="1">
      <alignment vertical="top"/>
      <protection locked="0"/>
    </xf>
    <xf numFmtId="0" fontId="14"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vertical="top"/>
      <protection locked="0"/>
    </xf>
    <xf numFmtId="0" fontId="14" fillId="0" borderId="12" xfId="0" applyFont="1" applyFill="1" applyBorder="1" applyAlignment="1" applyProtection="1">
      <alignment horizontal="center" vertical="top"/>
      <protection locked="0"/>
    </xf>
    <xf numFmtId="164" fontId="14" fillId="0" borderId="17" xfId="0" applyNumberFormat="1" applyFont="1" applyFill="1" applyBorder="1" applyProtection="1">
      <alignment vertical="top"/>
      <protection locked="0"/>
    </xf>
    <xf numFmtId="164" fontId="14" fillId="0" borderId="7" xfId="0" applyNumberFormat="1" applyFont="1" applyFill="1" applyBorder="1" applyProtection="1">
      <alignment vertical="top"/>
      <protection locked="0"/>
    </xf>
    <xf numFmtId="0" fontId="14" fillId="2" borderId="20" xfId="0" applyFont="1" applyFill="1" applyBorder="1" applyAlignment="1" applyProtection="1">
      <alignment horizontal="center" vertical="top"/>
      <protection locked="0"/>
    </xf>
    <xf numFmtId="0" fontId="14" fillId="0" borderId="15" xfId="0" applyFont="1" applyFill="1" applyBorder="1" applyAlignment="1" applyProtection="1">
      <alignment horizontal="center" vertical="top"/>
      <protection locked="0"/>
    </xf>
    <xf numFmtId="164" fontId="14" fillId="0" borderId="4" xfId="0" applyNumberFormat="1" applyFont="1" applyFill="1" applyBorder="1" applyProtection="1">
      <alignment vertical="top"/>
      <protection locked="0"/>
    </xf>
    <xf numFmtId="164" fontId="14" fillId="0" borderId="5" xfId="0" applyNumberFormat="1" applyFont="1" applyFill="1" applyBorder="1" applyProtection="1">
      <alignment vertical="top"/>
      <protection locked="0"/>
    </xf>
    <xf numFmtId="164" fontId="14" fillId="0" borderId="17" xfId="0" applyNumberFormat="1" applyFont="1" applyBorder="1" applyProtection="1">
      <alignment vertical="top"/>
      <protection locked="0"/>
    </xf>
    <xf numFmtId="0" fontId="14" fillId="2" borderId="11" xfId="0" applyFont="1" applyFill="1" applyBorder="1" applyAlignment="1" applyProtection="1">
      <alignment horizontal="center"/>
      <protection locked="0"/>
    </xf>
    <xf numFmtId="0" fontId="14" fillId="2" borderId="11" xfId="0" applyFont="1" applyFill="1" applyBorder="1" applyAlignment="1" applyProtection="1">
      <alignment horizontal="center" vertical="top"/>
      <protection locked="0"/>
    </xf>
    <xf numFmtId="0" fontId="14" fillId="2" borderId="25" xfId="0" applyFont="1" applyFill="1" applyBorder="1" applyAlignment="1" applyProtection="1">
      <alignment horizontal="center" vertical="top"/>
      <protection locked="0"/>
    </xf>
    <xf numFmtId="164" fontId="14" fillId="0" borderId="26" xfId="0" applyNumberFormat="1" applyFont="1" applyFill="1" applyBorder="1" applyProtection="1">
      <alignment vertical="top"/>
      <protection locked="0"/>
    </xf>
    <xf numFmtId="164" fontId="14" fillId="0" borderId="24" xfId="0" applyNumberFormat="1" applyFont="1" applyFill="1" applyBorder="1" applyProtection="1">
      <alignment vertical="top"/>
      <protection locked="0"/>
    </xf>
    <xf numFmtId="3" fontId="14" fillId="0" borderId="8" xfId="0" applyNumberFormat="1" applyFont="1" applyBorder="1" applyAlignment="1" applyProtection="1">
      <protection locked="0"/>
    </xf>
    <xf numFmtId="3" fontId="14" fillId="0" borderId="0" xfId="0" applyNumberFormat="1" applyFont="1" applyBorder="1" applyAlignment="1" applyProtection="1">
      <protection locked="0"/>
    </xf>
    <xf numFmtId="0" fontId="14" fillId="0" borderId="28" xfId="0" applyFont="1" applyFill="1" applyBorder="1" applyAlignment="1" applyProtection="1">
      <alignment horizontal="center" vertical="top"/>
      <protection locked="0"/>
    </xf>
    <xf numFmtId="164" fontId="14" fillId="0" borderId="29" xfId="0" applyNumberFormat="1" applyFont="1" applyBorder="1" applyProtection="1">
      <alignment vertical="top"/>
      <protection locked="0"/>
    </xf>
    <xf numFmtId="164" fontId="14" fillId="0" borderId="30" xfId="0" applyNumberFormat="1" applyFont="1" applyBorder="1" applyProtection="1">
      <alignment vertical="top"/>
      <protection locked="0"/>
    </xf>
    <xf numFmtId="0" fontId="14" fillId="0" borderId="33" xfId="0" applyFont="1" applyBorder="1" applyAlignment="1" applyProtection="1">
      <alignment vertical="top" wrapText="1"/>
      <protection locked="0"/>
    </xf>
    <xf numFmtId="0" fontId="14" fillId="0" borderId="0" xfId="0" applyFont="1" applyBorder="1" applyAlignment="1" applyProtection="1">
      <protection locked="0"/>
    </xf>
    <xf numFmtId="0" fontId="14" fillId="0" borderId="0" xfId="0" applyFont="1" applyFill="1" applyBorder="1" applyAlignment="1" applyProtection="1">
      <alignment horizontal="center" vertical="top"/>
      <protection locked="0"/>
    </xf>
    <xf numFmtId="164" fontId="14" fillId="0" borderId="0" xfId="0" applyNumberFormat="1" applyFont="1" applyFill="1" applyBorder="1" applyProtection="1">
      <alignment vertical="top"/>
      <protection locked="0"/>
    </xf>
    <xf numFmtId="0" fontId="14" fillId="0" borderId="0" xfId="0" applyFont="1" applyAlignment="1" applyProtection="1">
      <alignment vertical="top" wrapText="1"/>
      <protection locked="0"/>
    </xf>
    <xf numFmtId="9" fontId="14" fillId="0" borderId="0" xfId="0" applyNumberFormat="1" applyFont="1" applyFill="1" applyBorder="1" applyAlignment="1" applyProtection="1">
      <alignment horizontal="center" vertical="top"/>
      <protection locked="0"/>
    </xf>
    <xf numFmtId="0" fontId="13" fillId="0" borderId="0" xfId="0" applyFont="1" applyFill="1" applyBorder="1" applyAlignment="1" applyProtection="1">
      <alignment horizontal="center" vertical="top"/>
      <protection locked="0"/>
    </xf>
    <xf numFmtId="164" fontId="14" fillId="0" borderId="0" xfId="0" applyNumberFormat="1" applyFont="1" applyBorder="1" applyProtection="1">
      <alignment vertical="top"/>
      <protection locked="0"/>
    </xf>
    <xf numFmtId="3" fontId="14" fillId="0" borderId="0" xfId="0" quotePrefix="1" applyNumberFormat="1" applyFont="1" applyBorder="1" applyAlignment="1" applyProtection="1">
      <alignment horizontal="left"/>
      <protection locked="0"/>
    </xf>
    <xf numFmtId="0" fontId="14" fillId="0" borderId="0" xfId="0" quotePrefix="1" applyFont="1" applyBorder="1" applyAlignment="1" applyProtection="1">
      <alignment horizontal="left"/>
      <protection locked="0"/>
    </xf>
    <xf numFmtId="3" fontId="14" fillId="0" borderId="0" xfId="0" applyNumberFormat="1" applyFont="1" applyFill="1" applyBorder="1" applyAlignment="1" applyProtection="1">
      <alignment horizontal="center"/>
      <protection locked="0"/>
    </xf>
    <xf numFmtId="0" fontId="14" fillId="0" borderId="0" xfId="0" applyFont="1" applyBorder="1" applyAlignment="1" applyProtection="1">
      <alignment vertical="top"/>
      <protection locked="0"/>
    </xf>
    <xf numFmtId="3" fontId="14" fillId="0" borderId="0" xfId="0" quotePrefix="1" applyNumberFormat="1" applyFont="1" applyFill="1" applyBorder="1" applyAlignment="1" applyProtection="1">
      <alignment horizontal="center"/>
      <protection locked="0"/>
    </xf>
    <xf numFmtId="3" fontId="14" fillId="0" borderId="0" xfId="0" applyNumberFormat="1" applyFont="1" applyFill="1" applyBorder="1" applyAlignment="1" applyProtection="1">
      <alignment horizontal="left"/>
      <protection locked="0"/>
    </xf>
    <xf numFmtId="0" fontId="14" fillId="0" borderId="0" xfId="0" applyFont="1" applyFill="1" applyProtection="1">
      <alignment vertical="top"/>
      <protection locked="0"/>
    </xf>
    <xf numFmtId="0" fontId="17" fillId="0" borderId="1" xfId="0" applyFont="1" applyFill="1" applyBorder="1" applyAlignment="1" applyProtection="1">
      <protection locked="0"/>
    </xf>
    <xf numFmtId="0" fontId="17" fillId="0" borderId="30" xfId="0" applyFont="1" applyFill="1" applyBorder="1" applyAlignment="1" applyProtection="1">
      <protection locked="0"/>
    </xf>
    <xf numFmtId="0" fontId="13" fillId="2" borderId="2" xfId="0" applyFont="1" applyFill="1" applyBorder="1" applyAlignment="1" applyProtection="1">
      <alignment horizontal="left"/>
      <protection locked="0"/>
    </xf>
    <xf numFmtId="3" fontId="13" fillId="2" borderId="0" xfId="0" applyNumberFormat="1"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3" fontId="13" fillId="2" borderId="11" xfId="0" applyNumberFormat="1" applyFont="1" applyFill="1" applyBorder="1" applyAlignment="1" applyProtection="1">
      <alignment horizontal="left"/>
      <protection locked="0"/>
    </xf>
    <xf numFmtId="0" fontId="14" fillId="0" borderId="38" xfId="1" applyFont="1" applyBorder="1" applyProtection="1">
      <protection locked="0"/>
    </xf>
    <xf numFmtId="0" fontId="14" fillId="0" borderId="39" xfId="1" applyFont="1" applyBorder="1" applyProtection="1">
      <protection locked="0"/>
    </xf>
    <xf numFmtId="0" fontId="14" fillId="0" borderId="40" xfId="1" applyFont="1" applyBorder="1" applyProtection="1">
      <protection locked="0"/>
    </xf>
    <xf numFmtId="0" fontId="14" fillId="0" borderId="0" xfId="1" applyFont="1" applyProtection="1">
      <protection locked="0"/>
    </xf>
    <xf numFmtId="0" fontId="14" fillId="0" borderId="0" xfId="1" applyFont="1" applyAlignment="1" applyProtection="1">
      <alignment horizontal="center"/>
      <protection locked="0"/>
    </xf>
    <xf numFmtId="0" fontId="14" fillId="0" borderId="1" xfId="0" applyFont="1" applyBorder="1" applyProtection="1">
      <alignment vertical="top"/>
      <protection locked="0"/>
    </xf>
    <xf numFmtId="0" fontId="14" fillId="0" borderId="0" xfId="0" applyFont="1" applyAlignment="1" applyProtection="1">
      <alignment horizontal="right" vertical="top"/>
      <protection locked="0"/>
    </xf>
    <xf numFmtId="0" fontId="14" fillId="0" borderId="1" xfId="0" applyFont="1" applyBorder="1" applyAlignment="1" applyProtection="1">
      <alignment horizontal="right" vertical="top"/>
      <protection locked="0"/>
    </xf>
    <xf numFmtId="2" fontId="14" fillId="0" borderId="24" xfId="0" applyNumberFormat="1" applyFont="1" applyBorder="1" applyProtection="1">
      <alignment vertical="top"/>
      <protection locked="0"/>
    </xf>
    <xf numFmtId="2" fontId="14" fillId="0" borderId="1" xfId="0" applyNumberFormat="1" applyFont="1" applyBorder="1" applyProtection="1">
      <alignment vertical="top"/>
      <protection locked="0"/>
    </xf>
    <xf numFmtId="0" fontId="9" fillId="0" borderId="24" xfId="0" applyFont="1" applyBorder="1" applyAlignment="1">
      <alignment vertical="top" wrapText="1"/>
    </xf>
    <xf numFmtId="164" fontId="14" fillId="0" borderId="22" xfId="0" applyNumberFormat="1" applyFont="1" applyFill="1" applyBorder="1" applyProtection="1">
      <alignment vertical="top"/>
      <protection locked="0"/>
    </xf>
    <xf numFmtId="164" fontId="14" fillId="0" borderId="36" xfId="0" applyNumberFormat="1" applyFont="1" applyFill="1" applyBorder="1" applyProtection="1">
      <alignment vertical="top"/>
      <protection locked="0"/>
    </xf>
    <xf numFmtId="2" fontId="13" fillId="0" borderId="0" xfId="0" applyNumberFormat="1" applyFont="1" applyFill="1" applyBorder="1" applyAlignment="1" applyProtection="1">
      <alignment horizontal="center"/>
      <protection locked="0"/>
    </xf>
    <xf numFmtId="2" fontId="14" fillId="0" borderId="0" xfId="0" applyNumberFormat="1" applyFont="1" applyBorder="1" applyAlignment="1" applyProtection="1">
      <alignment horizontal="center"/>
      <protection locked="0"/>
    </xf>
    <xf numFmtId="2" fontId="13" fillId="0" borderId="0" xfId="0" applyNumberFormat="1" applyFont="1" applyBorder="1" applyAlignment="1" applyProtection="1">
      <alignment horizontal="center" vertical="top"/>
      <protection locked="0"/>
    </xf>
    <xf numFmtId="2" fontId="14" fillId="0" borderId="0" xfId="0" applyNumberFormat="1" applyFont="1" applyBorder="1" applyAlignment="1" applyProtection="1">
      <alignment horizontal="center" vertical="top"/>
      <protection locked="0"/>
    </xf>
    <xf numFmtId="2" fontId="14" fillId="0" borderId="0" xfId="0" applyNumberFormat="1" applyFont="1" applyFill="1" applyBorder="1" applyAlignment="1" applyProtection="1">
      <alignment horizontal="center"/>
      <protection locked="0"/>
    </xf>
    <xf numFmtId="2" fontId="14" fillId="0" borderId="0" xfId="0" applyNumberFormat="1" applyFont="1" applyAlignment="1" applyProtection="1">
      <alignment horizontal="center" vertical="top"/>
      <protection locked="0"/>
    </xf>
    <xf numFmtId="0" fontId="14" fillId="2" borderId="47" xfId="0" applyFont="1" applyFill="1" applyBorder="1" applyAlignment="1" applyProtection="1">
      <alignment horizontal="center"/>
      <protection locked="0"/>
    </xf>
    <xf numFmtId="0" fontId="14" fillId="2" borderId="47" xfId="0" applyFont="1" applyFill="1" applyBorder="1" applyAlignment="1" applyProtection="1">
      <alignment horizontal="center" vertical="top"/>
      <protection locked="0"/>
    </xf>
    <xf numFmtId="0" fontId="14" fillId="2" borderId="49" xfId="0" applyFont="1" applyFill="1" applyBorder="1" applyAlignment="1" applyProtection="1">
      <alignment horizontal="center" vertical="top"/>
      <protection locked="0"/>
    </xf>
    <xf numFmtId="0" fontId="2" fillId="0" borderId="24" xfId="0" applyFont="1" applyBorder="1" applyAlignment="1">
      <alignment horizontal="center" vertical="center"/>
    </xf>
    <xf numFmtId="0" fontId="4" fillId="0" borderId="24" xfId="0" applyFont="1" applyBorder="1" applyAlignment="1">
      <alignment vertical="top" wrapText="1"/>
    </xf>
    <xf numFmtId="0" fontId="3" fillId="0" borderId="0" xfId="0" applyFont="1" applyBorder="1" applyAlignment="1">
      <alignment vertical="top" wrapText="1"/>
    </xf>
    <xf numFmtId="0" fontId="8" fillId="0" borderId="1" xfId="0" applyFont="1" applyBorder="1" applyAlignment="1">
      <alignment vertical="top" wrapText="1"/>
    </xf>
    <xf numFmtId="0" fontId="20" fillId="0" borderId="0" xfId="0" applyFont="1">
      <alignment vertical="top"/>
    </xf>
    <xf numFmtId="0" fontId="20" fillId="0" borderId="0" xfId="0" applyFont="1" applyBorder="1" applyProtection="1">
      <alignment vertical="top"/>
      <protection locked="0"/>
    </xf>
    <xf numFmtId="0" fontId="21" fillId="0" borderId="0" xfId="0" applyFont="1">
      <alignment vertical="top"/>
    </xf>
    <xf numFmtId="0" fontId="14" fillId="3" borderId="50" xfId="0" applyFont="1" applyFill="1" applyBorder="1" applyProtection="1">
      <alignment vertical="top"/>
      <protection locked="0"/>
    </xf>
    <xf numFmtId="0" fontId="14" fillId="0" borderId="51" xfId="0" applyFont="1" applyBorder="1" applyAlignment="1" applyProtection="1">
      <alignment vertical="top" wrapText="1"/>
      <protection locked="0"/>
    </xf>
    <xf numFmtId="0" fontId="14" fillId="0" borderId="52" xfId="0" applyFont="1" applyBorder="1" applyAlignment="1" applyProtection="1">
      <alignment vertical="top" wrapText="1"/>
      <protection locked="0"/>
    </xf>
    <xf numFmtId="0" fontId="14" fillId="3" borderId="51" xfId="0" applyFont="1" applyFill="1" applyBorder="1" applyAlignment="1" applyProtection="1">
      <alignment vertical="top" wrapText="1"/>
      <protection locked="0"/>
    </xf>
    <xf numFmtId="0" fontId="14" fillId="0" borderId="53" xfId="0" applyFont="1" applyBorder="1" applyProtection="1">
      <alignment vertical="top"/>
      <protection locked="0"/>
    </xf>
    <xf numFmtId="0" fontId="14" fillId="3" borderId="54" xfId="0" applyFont="1" applyFill="1" applyBorder="1" applyAlignment="1" applyProtection="1">
      <alignment vertical="top" wrapText="1"/>
      <protection locked="0"/>
    </xf>
    <xf numFmtId="0" fontId="14" fillId="0" borderId="55" xfId="0" applyFont="1" applyBorder="1" applyAlignment="1" applyProtection="1">
      <alignment vertical="top" wrapText="1"/>
      <protection locked="0"/>
    </xf>
    <xf numFmtId="0" fontId="14" fillId="0" borderId="54" xfId="0" applyFont="1" applyBorder="1" applyAlignment="1" applyProtection="1">
      <alignment vertical="top" wrapText="1"/>
      <protection locked="0"/>
    </xf>
    <xf numFmtId="0" fontId="14" fillId="0" borderId="56" xfId="0" applyFont="1" applyBorder="1" applyAlignment="1" applyProtection="1">
      <alignment vertical="top" wrapText="1"/>
      <protection locked="0"/>
    </xf>
    <xf numFmtId="164" fontId="14" fillId="0" borderId="54" xfId="1" applyNumberFormat="1" applyFont="1" applyFill="1" applyBorder="1" applyProtection="1">
      <protection locked="0"/>
    </xf>
    <xf numFmtId="164" fontId="14" fillId="0" borderId="51" xfId="1" applyNumberFormat="1" applyFont="1" applyFill="1" applyBorder="1" applyProtection="1">
      <protection locked="0"/>
    </xf>
    <xf numFmtId="164" fontId="14" fillId="5" borderId="24" xfId="1" applyNumberFormat="1" applyFont="1" applyFill="1" applyBorder="1" applyProtection="1">
      <protection locked="0"/>
    </xf>
    <xf numFmtId="164" fontId="14" fillId="6" borderId="57" xfId="1" applyNumberFormat="1" applyFont="1" applyFill="1" applyBorder="1" applyProtection="1">
      <protection locked="0"/>
    </xf>
    <xf numFmtId="164" fontId="14" fillId="5" borderId="1" xfId="1" applyNumberFormat="1" applyFont="1" applyFill="1" applyBorder="1" applyProtection="1">
      <protection locked="0"/>
    </xf>
    <xf numFmtId="164" fontId="14" fillId="6" borderId="35" xfId="1" applyNumberFormat="1" applyFont="1" applyFill="1" applyBorder="1" applyProtection="1">
      <protection locked="0"/>
    </xf>
    <xf numFmtId="164" fontId="14" fillId="5" borderId="45" xfId="1" applyNumberFormat="1" applyFont="1" applyFill="1" applyBorder="1" applyProtection="1">
      <protection locked="0"/>
    </xf>
    <xf numFmtId="164" fontId="14" fillId="6" borderId="58" xfId="1" applyNumberFormat="1" applyFont="1" applyFill="1" applyBorder="1" applyProtection="1">
      <protection locked="0"/>
    </xf>
    <xf numFmtId="0" fontId="21" fillId="0" borderId="0" xfId="0" applyFont="1" applyAlignment="1">
      <alignment horizontal="left" vertical="top"/>
    </xf>
    <xf numFmtId="164" fontId="14" fillId="0" borderId="24" xfId="0" applyNumberFormat="1" applyFont="1" applyBorder="1" applyAlignment="1" applyProtection="1">
      <alignment horizontal="right"/>
      <protection locked="0"/>
    </xf>
    <xf numFmtId="164" fontId="14" fillId="0" borderId="1" xfId="0" applyNumberFormat="1" applyFont="1" applyBorder="1" applyAlignment="1" applyProtection="1">
      <alignment horizontal="right"/>
      <protection locked="0"/>
    </xf>
    <xf numFmtId="0" fontId="20" fillId="0" borderId="0" xfId="0" applyFont="1" applyProtection="1">
      <alignment vertical="top"/>
    </xf>
    <xf numFmtId="2" fontId="20" fillId="0" borderId="0" xfId="0" applyNumberFormat="1" applyFont="1" applyBorder="1" applyAlignment="1" applyProtection="1"/>
    <xf numFmtId="0" fontId="20" fillId="0" borderId="0" xfId="0" applyFont="1" applyBorder="1" applyAlignment="1" applyProtection="1"/>
    <xf numFmtId="49" fontId="20" fillId="0" borderId="0" xfId="0" applyNumberFormat="1" applyFont="1" applyFill="1" applyBorder="1" applyAlignment="1" applyProtection="1">
      <alignment horizontal="left"/>
    </xf>
    <xf numFmtId="2" fontId="19" fillId="0" borderId="0" xfId="0" applyNumberFormat="1" applyFont="1" applyFill="1" applyBorder="1" applyAlignment="1" applyProtection="1"/>
    <xf numFmtId="0" fontId="19" fillId="0" borderId="0" xfId="0" applyFont="1" applyBorder="1" applyAlignment="1" applyProtection="1">
      <alignment horizontal="left"/>
    </xf>
    <xf numFmtId="2" fontId="14" fillId="0" borderId="1" xfId="0" applyNumberFormat="1" applyFont="1" applyFill="1" applyBorder="1" applyAlignment="1" applyProtection="1">
      <alignment horizontal="center" vertical="top"/>
      <protection locked="0"/>
    </xf>
    <xf numFmtId="2" fontId="14" fillId="2" borderId="0" xfId="0" applyNumberFormat="1" applyFont="1" applyFill="1" applyBorder="1" applyAlignment="1" applyProtection="1">
      <alignment horizontal="center" vertical="top"/>
      <protection locked="0"/>
    </xf>
    <xf numFmtId="2" fontId="14" fillId="0" borderId="30" xfId="0" applyNumberFormat="1" applyFont="1" applyFill="1" applyBorder="1" applyAlignment="1" applyProtection="1">
      <alignment horizontal="center" vertical="top"/>
      <protection locked="0"/>
    </xf>
    <xf numFmtId="0" fontId="14" fillId="0" borderId="1" xfId="0" applyFont="1" applyFill="1" applyBorder="1" applyAlignment="1" applyProtection="1">
      <protection locked="0"/>
    </xf>
    <xf numFmtId="0" fontId="14" fillId="0" borderId="14" xfId="0" applyFont="1" applyFill="1" applyBorder="1" applyAlignment="1" applyProtection="1">
      <protection locked="0"/>
    </xf>
    <xf numFmtId="0" fontId="14" fillId="0" borderId="30" xfId="0" applyFont="1" applyFill="1" applyBorder="1" applyAlignment="1" applyProtection="1">
      <protection locked="0"/>
    </xf>
    <xf numFmtId="49" fontId="3" fillId="0" borderId="0" xfId="0" applyNumberFormat="1" applyFont="1" applyBorder="1" applyAlignment="1" applyProtection="1">
      <alignment horizontal="center"/>
    </xf>
    <xf numFmtId="49" fontId="3" fillId="0" borderId="0" xfId="0" quotePrefix="1" applyNumberFormat="1" applyFont="1" applyFill="1" applyBorder="1" applyAlignment="1" applyProtection="1">
      <alignment horizontal="center"/>
    </xf>
    <xf numFmtId="2" fontId="21" fillId="0" borderId="1" xfId="0" applyNumberFormat="1" applyFont="1" applyBorder="1" applyAlignment="1" applyProtection="1">
      <alignment horizontal="center"/>
      <protection locked="0"/>
    </xf>
    <xf numFmtId="2" fontId="22" fillId="0" borderId="1" xfId="0" applyNumberFormat="1" applyFont="1" applyBorder="1" applyAlignment="1" applyProtection="1">
      <alignment horizontal="center"/>
      <protection locked="0"/>
    </xf>
    <xf numFmtId="2" fontId="21" fillId="0" borderId="1" xfId="0" applyNumberFormat="1" applyFont="1" applyFill="1" applyBorder="1" applyAlignment="1" applyProtection="1">
      <alignment horizontal="center"/>
      <protection locked="0"/>
    </xf>
    <xf numFmtId="0" fontId="20" fillId="0" borderId="0" xfId="0" applyFont="1" applyFill="1" applyBorder="1" applyProtection="1">
      <alignment vertical="top"/>
    </xf>
    <xf numFmtId="2" fontId="21" fillId="13" borderId="1" xfId="0" applyNumberFormat="1" applyFont="1" applyFill="1" applyBorder="1" applyAlignment="1" applyProtection="1">
      <alignment horizontal="center"/>
    </xf>
    <xf numFmtId="2" fontId="22" fillId="13" borderId="1" xfId="0" applyNumberFormat="1" applyFont="1" applyFill="1" applyBorder="1" applyAlignment="1" applyProtection="1">
      <alignment horizontal="center"/>
    </xf>
    <xf numFmtId="2" fontId="21" fillId="0" borderId="0" xfId="0" applyNumberFormat="1" applyFont="1" applyFill="1" applyBorder="1" applyAlignment="1" applyProtection="1">
      <alignment horizontal="center"/>
      <protection locked="0"/>
    </xf>
    <xf numFmtId="2" fontId="21" fillId="0" borderId="0" xfId="0" applyNumberFormat="1" applyFont="1" applyBorder="1" applyAlignment="1" applyProtection="1">
      <alignment horizontal="center"/>
      <protection locked="0"/>
    </xf>
    <xf numFmtId="49" fontId="21" fillId="0" borderId="0" xfId="0" applyNumberFormat="1" applyFont="1" applyBorder="1" applyAlignment="1" applyProtection="1">
      <alignment horizontal="left"/>
      <protection locked="0"/>
    </xf>
    <xf numFmtId="0" fontId="20" fillId="0" borderId="0" xfId="0" applyFont="1" applyBorder="1" applyAlignment="1" applyProtection="1">
      <alignment horizontal="center"/>
    </xf>
    <xf numFmtId="0" fontId="19" fillId="11" borderId="62" xfId="0" applyFont="1" applyFill="1" applyBorder="1" applyAlignment="1" applyProtection="1">
      <alignment horizontal="center"/>
    </xf>
    <xf numFmtId="0" fontId="19" fillId="11" borderId="63" xfId="0" applyFont="1" applyFill="1" applyBorder="1" applyAlignment="1" applyProtection="1">
      <alignment horizontal="center" wrapText="1"/>
    </xf>
    <xf numFmtId="0" fontId="19" fillId="11" borderId="64" xfId="0" applyFont="1" applyFill="1" applyBorder="1" applyAlignment="1" applyProtection="1">
      <alignment horizontal="center" wrapText="1"/>
    </xf>
    <xf numFmtId="49" fontId="21" fillId="0" borderId="51" xfId="0" applyNumberFormat="1" applyFont="1" applyBorder="1" applyAlignment="1" applyProtection="1">
      <alignment horizontal="left"/>
      <protection locked="0"/>
    </xf>
    <xf numFmtId="2" fontId="21" fillId="0" borderId="65" xfId="0" applyNumberFormat="1" applyFont="1" applyFill="1" applyBorder="1" applyAlignment="1" applyProtection="1">
      <alignment horizontal="center"/>
      <protection locked="0"/>
    </xf>
    <xf numFmtId="2" fontId="21" fillId="0" borderId="65" xfId="0" applyNumberFormat="1" applyFont="1" applyBorder="1" applyAlignment="1" applyProtection="1">
      <alignment horizontal="center"/>
      <protection locked="0"/>
    </xf>
    <xf numFmtId="49" fontId="21" fillId="0" borderId="66" xfId="0" applyNumberFormat="1" applyFont="1" applyBorder="1" applyAlignment="1" applyProtection="1">
      <alignment horizontal="left"/>
      <protection locked="0"/>
    </xf>
    <xf numFmtId="2" fontId="21" fillId="0" borderId="51" xfId="0" applyNumberFormat="1" applyFont="1" applyBorder="1" applyAlignment="1" applyProtection="1">
      <alignment horizontal="center"/>
      <protection locked="0"/>
    </xf>
    <xf numFmtId="2" fontId="22" fillId="0" borderId="51" xfId="0" applyNumberFormat="1" applyFont="1" applyBorder="1" applyAlignment="1" applyProtection="1">
      <alignment horizontal="center"/>
      <protection locked="0"/>
    </xf>
    <xf numFmtId="2" fontId="21" fillId="0" borderId="51" xfId="0" applyNumberFormat="1" applyFont="1" applyFill="1" applyBorder="1" applyAlignment="1" applyProtection="1">
      <alignment horizontal="center"/>
      <protection locked="0"/>
    </xf>
    <xf numFmtId="2" fontId="21" fillId="0" borderId="56" xfId="0" applyNumberFormat="1" applyFont="1" applyFill="1" applyBorder="1" applyAlignment="1" applyProtection="1">
      <alignment horizontal="center"/>
      <protection locked="0"/>
    </xf>
    <xf numFmtId="0" fontId="20" fillId="0" borderId="39" xfId="0" applyFont="1" applyBorder="1" applyAlignment="1">
      <alignment horizontal="right" vertical="top"/>
    </xf>
    <xf numFmtId="0" fontId="20" fillId="0" borderId="39" xfId="0" applyFont="1" applyFill="1" applyBorder="1" applyAlignment="1" applyProtection="1">
      <alignment horizontal="right" vertical="top"/>
    </xf>
    <xf numFmtId="0" fontId="20" fillId="0" borderId="67" xfId="0" applyFont="1" applyBorder="1" applyAlignment="1">
      <alignment horizontal="right" vertical="top"/>
    </xf>
    <xf numFmtId="2" fontId="13" fillId="0" borderId="0" xfId="0" applyNumberFormat="1" applyFont="1" applyFill="1" applyBorder="1" applyAlignment="1" applyProtection="1">
      <alignment horizontal="left"/>
      <protection locked="0"/>
    </xf>
    <xf numFmtId="2" fontId="19" fillId="0" borderId="0" xfId="0" quotePrefix="1" applyNumberFormat="1" applyFont="1" applyFill="1" applyBorder="1" applyAlignment="1" applyProtection="1">
      <protection locked="0"/>
    </xf>
    <xf numFmtId="0" fontId="0" fillId="0" borderId="0" xfId="0" applyAlignment="1" applyProtection="1">
      <alignment vertical="top"/>
      <protection locked="0"/>
    </xf>
    <xf numFmtId="0" fontId="20" fillId="0" borderId="0" xfId="0" quotePrefix="1" applyFont="1" applyFill="1" applyAlignment="1" applyProtection="1">
      <alignment horizontal="center" vertical="top"/>
      <protection locked="0"/>
    </xf>
    <xf numFmtId="0" fontId="20" fillId="0" borderId="0" xfId="0" applyFont="1" applyFill="1" applyBorder="1" applyProtection="1">
      <alignment vertical="top"/>
      <protection locked="0"/>
    </xf>
    <xf numFmtId="2" fontId="13" fillId="0" borderId="0" xfId="0" applyNumberFormat="1" applyFont="1" applyBorder="1" applyAlignment="1" applyProtection="1">
      <alignment horizontal="center"/>
      <protection locked="0"/>
    </xf>
    <xf numFmtId="2" fontId="13" fillId="0" borderId="0" xfId="0" applyNumberFormat="1" applyFont="1" applyBorder="1" applyAlignment="1" applyProtection="1">
      <alignment horizontal="left"/>
      <protection locked="0"/>
    </xf>
    <xf numFmtId="2" fontId="14" fillId="0" borderId="0" xfId="0" quotePrefix="1" applyNumberFormat="1" applyFont="1" applyBorder="1" applyAlignment="1" applyProtection="1">
      <alignment horizontal="left"/>
      <protection locked="0"/>
    </xf>
    <xf numFmtId="49" fontId="14" fillId="0" borderId="0" xfId="0" applyNumberFormat="1" applyFont="1" applyFill="1" applyBorder="1" applyAlignment="1" applyProtection="1">
      <alignment horizontal="left"/>
      <protection locked="0"/>
    </xf>
    <xf numFmtId="2" fontId="3" fillId="0" borderId="0" xfId="0" quotePrefix="1" applyNumberFormat="1" applyFont="1" applyFill="1" applyBorder="1" applyAlignment="1" applyProtection="1">
      <alignment horizontal="center"/>
      <protection locked="0"/>
    </xf>
    <xf numFmtId="0" fontId="3" fillId="0" borderId="0" xfId="0" quotePrefix="1" applyFont="1" applyFill="1" applyBorder="1" applyAlignment="1" applyProtection="1">
      <alignment horizontal="center"/>
    </xf>
    <xf numFmtId="2" fontId="19" fillId="0" borderId="0" xfId="0" applyNumberFormat="1" applyFont="1" applyBorder="1" applyAlignment="1" applyProtection="1">
      <alignment horizontal="left"/>
      <protection locked="0"/>
    </xf>
    <xf numFmtId="0" fontId="20" fillId="0" borderId="0" xfId="0" applyFont="1" applyAlignment="1" applyProtection="1">
      <alignment vertical="top"/>
      <protection locked="0"/>
    </xf>
    <xf numFmtId="0" fontId="20" fillId="0" borderId="0" xfId="0" applyFont="1" applyBorder="1">
      <alignment vertical="top"/>
    </xf>
    <xf numFmtId="0" fontId="20" fillId="0" borderId="0" xfId="0" applyFont="1" applyFill="1" applyBorder="1" applyAlignment="1">
      <alignment horizontal="center" vertical="top"/>
    </xf>
    <xf numFmtId="0" fontId="19" fillId="14" borderId="62" xfId="0" applyFont="1" applyFill="1" applyBorder="1" applyAlignment="1">
      <alignment horizontal="center" wrapText="1"/>
    </xf>
    <xf numFmtId="2" fontId="19" fillId="14" borderId="64" xfId="0" applyNumberFormat="1" applyFont="1" applyFill="1" applyBorder="1" applyAlignment="1" applyProtection="1">
      <alignment horizontal="center" wrapText="1"/>
      <protection locked="0"/>
    </xf>
    <xf numFmtId="0" fontId="0" fillId="0" borderId="0" xfId="0" applyBorder="1" applyAlignment="1" applyProtection="1">
      <alignment vertical="top"/>
      <protection locked="0"/>
    </xf>
    <xf numFmtId="0" fontId="3" fillId="0" borderId="1" xfId="0" applyFont="1" applyBorder="1" applyAlignment="1">
      <alignment vertical="top" wrapText="1"/>
    </xf>
    <xf numFmtId="49" fontId="0" fillId="0" borderId="39" xfId="0" applyNumberFormat="1" applyFill="1" applyBorder="1" applyAlignment="1">
      <alignment vertical="top"/>
    </xf>
    <xf numFmtId="49" fontId="21" fillId="0" borderId="39" xfId="0" applyNumberFormat="1" applyFont="1" applyBorder="1" applyAlignment="1" applyProtection="1">
      <alignment horizontal="left"/>
      <protection locked="0"/>
    </xf>
    <xf numFmtId="49" fontId="21" fillId="0" borderId="67" xfId="0" applyNumberFormat="1" applyFont="1" applyBorder="1" applyAlignment="1" applyProtection="1">
      <alignment horizontal="left"/>
      <protection locked="0"/>
    </xf>
    <xf numFmtId="0" fontId="7" fillId="15" borderId="0" xfId="0" applyFont="1" applyFill="1" applyBorder="1" applyAlignment="1">
      <alignment horizontal="center" vertical="top" wrapText="1"/>
    </xf>
    <xf numFmtId="0" fontId="0" fillId="15" borderId="0" xfId="0" applyFill="1" applyBorder="1" applyAlignment="1">
      <alignment horizontal="center" vertical="top"/>
    </xf>
    <xf numFmtId="0" fontId="9" fillId="0" borderId="1" xfId="0" applyFont="1" applyBorder="1" applyAlignment="1">
      <alignment vertical="top" wrapText="1"/>
    </xf>
    <xf numFmtId="0" fontId="2" fillId="0" borderId="0" xfId="0" applyFont="1" applyBorder="1" applyAlignment="1">
      <alignment horizontal="center" vertical="top"/>
    </xf>
    <xf numFmtId="0" fontId="4" fillId="0" borderId="0" xfId="0" applyFont="1" applyBorder="1" applyAlignment="1">
      <alignment vertical="top" wrapText="1"/>
    </xf>
    <xf numFmtId="0" fontId="0" fillId="0" borderId="1" xfId="0" applyBorder="1" applyAlignment="1">
      <alignment horizontal="center" vertical="center"/>
    </xf>
    <xf numFmtId="16" fontId="3" fillId="0" borderId="1" xfId="0" quotePrefix="1" applyNumberFormat="1" applyFont="1" applyBorder="1" applyAlignment="1">
      <alignment horizontal="center" vertical="center"/>
    </xf>
    <xf numFmtId="0" fontId="0" fillId="0" borderId="24" xfId="0" applyBorder="1" applyAlignment="1">
      <alignment horizontal="center" vertical="center"/>
    </xf>
    <xf numFmtId="16" fontId="3" fillId="0" borderId="1" xfId="0" quotePrefix="1" applyNumberFormat="1" applyFont="1" applyBorder="1" applyAlignment="1">
      <alignment horizontal="center" vertical="center" wrapText="1"/>
    </xf>
    <xf numFmtId="16" fontId="9" fillId="0" borderId="1" xfId="0" quotePrefix="1" applyNumberFormat="1" applyFont="1" applyBorder="1" applyAlignment="1">
      <alignment horizontal="center" vertical="center" wrapText="1"/>
    </xf>
    <xf numFmtId="0" fontId="13" fillId="0" borderId="1" xfId="0" applyFont="1" applyBorder="1" applyAlignment="1" applyProtection="1">
      <alignment horizontal="center" wrapText="1"/>
      <protection locked="0"/>
    </xf>
    <xf numFmtId="164" fontId="13" fillId="0" borderId="1" xfId="0" applyNumberFormat="1" applyFont="1" applyBorder="1" applyAlignment="1" applyProtection="1">
      <alignment horizontal="center" wrapText="1"/>
      <protection locked="0"/>
    </xf>
    <xf numFmtId="0" fontId="14" fillId="0" borderId="1" xfId="0" applyFont="1" applyBorder="1" applyAlignment="1" applyProtection="1">
      <alignment vertical="top"/>
      <protection locked="0"/>
    </xf>
    <xf numFmtId="0" fontId="13" fillId="2" borderId="47" xfId="0" applyFont="1" applyFill="1" applyBorder="1" applyAlignment="1" applyProtection="1">
      <alignment horizontal="left"/>
      <protection locked="0"/>
    </xf>
    <xf numFmtId="49" fontId="14" fillId="0" borderId="37" xfId="0" applyNumberFormat="1" applyFont="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0" fontId="13" fillId="0" borderId="37" xfId="0" applyFont="1" applyBorder="1" applyAlignment="1" applyProtection="1">
      <protection locked="0"/>
    </xf>
    <xf numFmtId="165" fontId="14" fillId="3" borderId="7" xfId="0" applyNumberFormat="1" applyFont="1" applyFill="1" applyBorder="1" applyProtection="1">
      <alignment vertical="top"/>
      <protection locked="0"/>
    </xf>
    <xf numFmtId="3" fontId="14" fillId="0" borderId="37" xfId="0" quotePrefix="1" applyNumberFormat="1" applyFont="1" applyBorder="1" applyAlignment="1" applyProtection="1">
      <alignment horizontal="left"/>
      <protection locked="0"/>
    </xf>
    <xf numFmtId="165" fontId="15" fillId="3" borderId="1" xfId="0" applyNumberFormat="1" applyFont="1" applyFill="1" applyBorder="1" applyProtection="1">
      <alignment vertical="top"/>
      <protection locked="0"/>
    </xf>
    <xf numFmtId="3" fontId="14" fillId="0" borderId="11" xfId="0" applyNumberFormat="1" applyFont="1" applyBorder="1" applyAlignment="1" applyProtection="1">
      <protection locked="0"/>
    </xf>
    <xf numFmtId="3" fontId="14" fillId="0" borderId="37" xfId="0" applyNumberFormat="1" applyFont="1" applyBorder="1" applyAlignment="1" applyProtection="1">
      <protection locked="0"/>
    </xf>
    <xf numFmtId="3" fontId="14" fillId="0" borderId="36" xfId="0" applyNumberFormat="1" applyFont="1" applyBorder="1" applyAlignment="1" applyProtection="1">
      <alignment horizontal="left"/>
      <protection locked="0"/>
    </xf>
    <xf numFmtId="165" fontId="15" fillId="3" borderId="14" xfId="0" applyNumberFormat="1" applyFont="1" applyFill="1" applyBorder="1" applyProtection="1">
      <alignment vertical="top"/>
      <protection locked="0"/>
    </xf>
    <xf numFmtId="165" fontId="14" fillId="3" borderId="1" xfId="0" applyNumberFormat="1" applyFont="1" applyFill="1" applyBorder="1" applyProtection="1">
      <alignment vertical="top"/>
      <protection locked="0"/>
    </xf>
    <xf numFmtId="3" fontId="14" fillId="0" borderId="11" xfId="0" quotePrefix="1" applyNumberFormat="1" applyFont="1" applyBorder="1" applyAlignment="1" applyProtection="1">
      <alignment horizontal="left"/>
      <protection locked="0"/>
    </xf>
    <xf numFmtId="0" fontId="14" fillId="0" borderId="11" xfId="0" applyFont="1" applyBorder="1" applyAlignment="1" applyProtection="1">
      <protection locked="0"/>
    </xf>
    <xf numFmtId="0" fontId="14" fillId="0" borderId="8" xfId="0" applyFont="1" applyBorder="1" applyAlignment="1" applyProtection="1">
      <protection locked="0"/>
    </xf>
    <xf numFmtId="0" fontId="14" fillId="0" borderId="18" xfId="0" applyFont="1" applyBorder="1" applyAlignment="1" applyProtection="1">
      <protection locked="0"/>
    </xf>
    <xf numFmtId="3" fontId="14" fillId="0" borderId="13" xfId="0" applyNumberFormat="1" applyFont="1" applyBorder="1" applyAlignment="1" applyProtection="1">
      <protection locked="0"/>
    </xf>
    <xf numFmtId="3" fontId="14" fillId="0" borderId="34" xfId="0" applyNumberFormat="1" applyFont="1" applyBorder="1" applyAlignment="1" applyProtection="1">
      <protection locked="0"/>
    </xf>
    <xf numFmtId="3" fontId="14" fillId="0" borderId="11" xfId="0" applyNumberFormat="1" applyFont="1" applyBorder="1" applyAlignment="1" applyProtection="1">
      <alignment horizontal="left"/>
      <protection locked="0"/>
    </xf>
    <xf numFmtId="0" fontId="14" fillId="0" borderId="34" xfId="0" applyFont="1" applyBorder="1" applyAlignment="1" applyProtection="1">
      <protection locked="0"/>
    </xf>
    <xf numFmtId="0" fontId="14" fillId="0" borderId="11" xfId="0" quotePrefix="1" applyFont="1" applyBorder="1" applyAlignment="1" applyProtection="1">
      <alignment horizontal="left"/>
      <protection locked="0"/>
    </xf>
    <xf numFmtId="165" fontId="14" fillId="0" borderId="32" xfId="0" applyNumberFormat="1" applyFont="1" applyBorder="1" applyProtection="1">
      <alignment vertical="top"/>
      <protection locked="0"/>
    </xf>
    <xf numFmtId="164" fontId="13" fillId="3" borderId="4" xfId="0" applyNumberFormat="1" applyFont="1" applyFill="1" applyBorder="1" applyProtection="1">
      <alignment vertical="top"/>
      <protection hidden="1"/>
    </xf>
    <xf numFmtId="164" fontId="13" fillId="3" borderId="5" xfId="0" applyNumberFormat="1" applyFont="1" applyFill="1" applyBorder="1" applyProtection="1">
      <alignment vertical="top"/>
      <protection hidden="1"/>
    </xf>
    <xf numFmtId="164" fontId="13" fillId="3" borderId="6" xfId="0" applyNumberFormat="1" applyFont="1" applyFill="1" applyBorder="1" applyProtection="1">
      <alignment vertical="top"/>
      <protection hidden="1"/>
    </xf>
    <xf numFmtId="164" fontId="13" fillId="2" borderId="5" xfId="0" applyNumberFormat="1" applyFont="1" applyFill="1" applyBorder="1" applyProtection="1">
      <alignment vertical="top"/>
      <protection hidden="1"/>
    </xf>
    <xf numFmtId="164" fontId="13" fillId="3" borderId="21" xfId="0" applyNumberFormat="1" applyFont="1" applyFill="1" applyBorder="1" applyProtection="1">
      <alignment vertical="top"/>
      <protection hidden="1"/>
    </xf>
    <xf numFmtId="164" fontId="13" fillId="3" borderId="22" xfId="0" applyNumberFormat="1" applyFont="1" applyFill="1" applyBorder="1" applyProtection="1">
      <alignment vertical="top"/>
      <protection hidden="1"/>
    </xf>
    <xf numFmtId="164" fontId="13" fillId="3" borderId="23" xfId="0" applyNumberFormat="1" applyFont="1" applyFill="1" applyBorder="1" applyProtection="1">
      <alignment vertical="top"/>
      <protection hidden="1"/>
    </xf>
    <xf numFmtId="164" fontId="13" fillId="4" borderId="31" xfId="0" applyNumberFormat="1" applyFont="1" applyFill="1" applyBorder="1" applyProtection="1">
      <alignment vertical="top"/>
      <protection hidden="1"/>
    </xf>
    <xf numFmtId="164" fontId="14" fillId="0" borderId="9" xfId="0" applyNumberFormat="1" applyFont="1" applyBorder="1" applyProtection="1">
      <alignment vertical="top"/>
      <protection hidden="1"/>
    </xf>
    <xf numFmtId="164" fontId="14" fillId="0" borderId="12" xfId="0" applyNumberFormat="1" applyFont="1" applyBorder="1" applyProtection="1">
      <alignment vertical="top"/>
      <protection hidden="1"/>
    </xf>
    <xf numFmtId="164" fontId="14" fillId="0" borderId="15" xfId="0" applyNumberFormat="1" applyFont="1" applyBorder="1" applyProtection="1">
      <alignment vertical="top"/>
      <protection hidden="1"/>
    </xf>
    <xf numFmtId="164" fontId="14" fillId="0" borderId="9" xfId="0" applyNumberFormat="1" applyFont="1" applyFill="1" applyBorder="1" applyProtection="1">
      <alignment vertical="top"/>
      <protection hidden="1"/>
    </xf>
    <xf numFmtId="164" fontId="14" fillId="0" borderId="12" xfId="0" applyNumberFormat="1" applyFont="1" applyFill="1" applyBorder="1" applyProtection="1">
      <alignment vertical="top"/>
      <protection hidden="1"/>
    </xf>
    <xf numFmtId="164" fontId="14" fillId="0" borderId="15" xfId="0" applyNumberFormat="1" applyFont="1" applyFill="1" applyBorder="1" applyProtection="1">
      <alignment vertical="top"/>
      <protection hidden="1"/>
    </xf>
    <xf numFmtId="164" fontId="14" fillId="0" borderId="6" xfId="0" applyNumberFormat="1" applyFont="1" applyFill="1" applyBorder="1" applyProtection="1">
      <alignment vertical="top"/>
      <protection hidden="1"/>
    </xf>
    <xf numFmtId="164" fontId="14" fillId="0" borderId="23" xfId="0" applyNumberFormat="1" applyFont="1" applyFill="1" applyBorder="1" applyProtection="1">
      <alignment vertical="top"/>
      <protection hidden="1"/>
    </xf>
    <xf numFmtId="164" fontId="14" fillId="0" borderId="27" xfId="0" applyNumberFormat="1" applyFont="1" applyFill="1" applyBorder="1" applyProtection="1">
      <alignment vertical="top"/>
      <protection hidden="1"/>
    </xf>
    <xf numFmtId="164" fontId="14" fillId="0" borderId="28" xfId="0" applyNumberFormat="1" applyFont="1" applyBorder="1" applyProtection="1">
      <alignment vertical="top"/>
      <protection hidden="1"/>
    </xf>
    <xf numFmtId="164" fontId="13" fillId="0" borderId="24" xfId="0" applyNumberFormat="1" applyFont="1" applyFill="1" applyBorder="1" applyProtection="1">
      <alignment vertical="top"/>
      <protection hidden="1"/>
    </xf>
    <xf numFmtId="164" fontId="13" fillId="0" borderId="30" xfId="0" applyNumberFormat="1" applyFont="1" applyFill="1" applyBorder="1" applyProtection="1">
      <alignment vertical="top"/>
      <protection hidden="1"/>
    </xf>
    <xf numFmtId="165" fontId="14" fillId="0" borderId="1" xfId="0" applyNumberFormat="1" applyFont="1" applyBorder="1" applyProtection="1">
      <alignment vertical="top"/>
      <protection hidden="1"/>
    </xf>
    <xf numFmtId="165" fontId="14" fillId="0" borderId="14" xfId="0" applyNumberFormat="1" applyFont="1" applyBorder="1" applyProtection="1">
      <alignment vertical="top"/>
      <protection hidden="1"/>
    </xf>
    <xf numFmtId="165" fontId="14" fillId="3" borderId="24" xfId="0" applyNumberFormat="1" applyFont="1" applyFill="1" applyBorder="1" applyProtection="1">
      <alignment vertical="top"/>
      <protection hidden="1"/>
    </xf>
    <xf numFmtId="165" fontId="14" fillId="3" borderId="1" xfId="0" applyNumberFormat="1" applyFont="1" applyFill="1" applyBorder="1" applyProtection="1">
      <alignment vertical="top"/>
      <protection hidden="1"/>
    </xf>
    <xf numFmtId="165" fontId="14" fillId="0" borderId="45" xfId="0" applyNumberFormat="1" applyFont="1" applyBorder="1" applyProtection="1">
      <alignment vertical="top"/>
      <protection hidden="1"/>
    </xf>
    <xf numFmtId="165" fontId="14" fillId="0" borderId="24" xfId="0" applyNumberFormat="1" applyFont="1" applyBorder="1" applyProtection="1">
      <alignment vertical="top"/>
      <protection hidden="1"/>
    </xf>
    <xf numFmtId="165" fontId="14" fillId="0" borderId="30" xfId="0" applyNumberFormat="1" applyFont="1" applyBorder="1" applyProtection="1">
      <alignment vertical="top"/>
      <protection hidden="1"/>
    </xf>
    <xf numFmtId="2" fontId="13" fillId="0" borderId="1" xfId="0" applyNumberFormat="1" applyFont="1" applyBorder="1" applyAlignment="1" applyProtection="1">
      <alignment horizontal="center" wrapText="1"/>
      <protection hidden="1"/>
    </xf>
    <xf numFmtId="0" fontId="13" fillId="0" borderId="35" xfId="0" applyFont="1" applyBorder="1" applyAlignment="1" applyProtection="1">
      <alignment horizontal="center"/>
      <protection hidden="1"/>
    </xf>
    <xf numFmtId="2" fontId="14" fillId="0" borderId="1" xfId="0" applyNumberFormat="1" applyFont="1" applyBorder="1" applyAlignment="1" applyProtection="1">
      <alignment horizontal="center"/>
      <protection hidden="1"/>
    </xf>
    <xf numFmtId="3" fontId="14" fillId="0" borderId="8" xfId="0" quotePrefix="1" applyNumberFormat="1" applyFont="1" applyBorder="1" applyAlignment="1" applyProtection="1">
      <alignment horizontal="left"/>
      <protection hidden="1"/>
    </xf>
    <xf numFmtId="2" fontId="14" fillId="0" borderId="24" xfId="0" applyNumberFormat="1" applyFont="1" applyBorder="1" applyAlignment="1" applyProtection="1">
      <alignment horizontal="center"/>
      <protection hidden="1"/>
    </xf>
    <xf numFmtId="3" fontId="14" fillId="0" borderId="11" xfId="0" applyNumberFormat="1" applyFont="1" applyBorder="1" applyAlignment="1" applyProtection="1">
      <protection hidden="1"/>
    </xf>
    <xf numFmtId="2" fontId="14" fillId="0" borderId="22" xfId="0" applyNumberFormat="1" applyFont="1" applyBorder="1" applyAlignment="1" applyProtection="1">
      <alignment horizontal="center"/>
      <protection hidden="1"/>
    </xf>
    <xf numFmtId="3" fontId="14" fillId="0" borderId="13" xfId="0" applyNumberFormat="1" applyFont="1" applyBorder="1" applyAlignment="1" applyProtection="1">
      <alignment horizontal="left"/>
      <protection hidden="1"/>
    </xf>
    <xf numFmtId="0" fontId="14" fillId="0" borderId="1" xfId="0" quotePrefix="1" applyNumberFormat="1" applyFont="1" applyBorder="1" applyAlignment="1" applyProtection="1">
      <alignment horizontal="center"/>
      <protection hidden="1"/>
    </xf>
    <xf numFmtId="3" fontId="14" fillId="0" borderId="8" xfId="0" applyNumberFormat="1" applyFont="1" applyBorder="1" applyAlignment="1" applyProtection="1">
      <protection hidden="1"/>
    </xf>
    <xf numFmtId="0" fontId="14" fillId="0" borderId="24" xfId="0" quotePrefix="1" applyNumberFormat="1" applyFont="1" applyBorder="1" applyAlignment="1" applyProtection="1">
      <alignment horizontal="center"/>
      <protection hidden="1"/>
    </xf>
    <xf numFmtId="3" fontId="14" fillId="0" borderId="11" xfId="0" quotePrefix="1" applyNumberFormat="1" applyFont="1" applyBorder="1" applyAlignment="1" applyProtection="1">
      <alignment horizontal="left"/>
      <protection hidden="1"/>
    </xf>
    <xf numFmtId="0" fontId="14" fillId="0" borderId="35" xfId="0" applyFont="1" applyBorder="1" applyAlignment="1" applyProtection="1">
      <protection hidden="1"/>
    </xf>
    <xf numFmtId="0" fontId="14" fillId="0" borderId="11" xfId="0" applyFont="1" applyBorder="1" applyAlignment="1" applyProtection="1">
      <protection hidden="1"/>
    </xf>
    <xf numFmtId="0" fontId="14" fillId="0" borderId="8" xfId="0" applyFont="1" applyBorder="1" applyAlignment="1" applyProtection="1">
      <protection hidden="1"/>
    </xf>
    <xf numFmtId="2" fontId="14" fillId="0" borderId="14" xfId="0" applyNumberFormat="1" applyFont="1" applyBorder="1" applyAlignment="1" applyProtection="1">
      <alignment horizontal="center"/>
      <protection hidden="1"/>
    </xf>
    <xf numFmtId="0" fontId="14" fillId="0" borderId="18" xfId="0" applyFont="1" applyBorder="1" applyAlignment="1" applyProtection="1">
      <protection hidden="1"/>
    </xf>
    <xf numFmtId="0" fontId="14" fillId="0" borderId="1" xfId="0" applyNumberFormat="1" applyFont="1" applyBorder="1" applyAlignment="1" applyProtection="1">
      <alignment horizontal="center"/>
      <protection hidden="1"/>
    </xf>
    <xf numFmtId="2" fontId="14" fillId="0" borderId="24" xfId="0" quotePrefix="1" applyNumberFormat="1" applyFont="1" applyBorder="1" applyAlignment="1" applyProtection="1">
      <alignment horizontal="center"/>
      <protection hidden="1"/>
    </xf>
    <xf numFmtId="3" fontId="14" fillId="0" borderId="13" xfId="0" applyNumberFormat="1" applyFont="1" applyBorder="1" applyAlignment="1" applyProtection="1">
      <protection hidden="1"/>
    </xf>
    <xf numFmtId="0" fontId="14" fillId="0" borderId="14" xfId="0" quotePrefix="1" applyNumberFormat="1" applyFont="1" applyBorder="1" applyAlignment="1" applyProtection="1">
      <alignment horizontal="center"/>
      <protection hidden="1"/>
    </xf>
    <xf numFmtId="0" fontId="14" fillId="0" borderId="22" xfId="0" quotePrefix="1" applyNumberFormat="1" applyFont="1" applyBorder="1" applyAlignment="1" applyProtection="1">
      <alignment horizontal="center"/>
      <protection hidden="1"/>
    </xf>
    <xf numFmtId="0" fontId="14" fillId="0" borderId="48" xfId="0" quotePrefix="1" applyNumberFormat="1" applyFont="1" applyBorder="1" applyAlignment="1" applyProtection="1">
      <alignment horizontal="center"/>
      <protection hidden="1"/>
    </xf>
    <xf numFmtId="3" fontId="14" fillId="0" borderId="0" xfId="0" applyNumberFormat="1" applyFont="1" applyBorder="1" applyAlignment="1" applyProtection="1">
      <protection hidden="1"/>
    </xf>
    <xf numFmtId="3" fontId="14" fillId="0" borderId="11" xfId="0" applyNumberFormat="1" applyFont="1" applyBorder="1" applyAlignment="1" applyProtection="1">
      <alignment horizontal="left"/>
      <protection hidden="1"/>
    </xf>
    <xf numFmtId="0" fontId="14" fillId="0" borderId="24" xfId="0" applyNumberFormat="1" applyFont="1" applyBorder="1" applyAlignment="1" applyProtection="1">
      <alignment horizontal="center"/>
      <protection hidden="1"/>
    </xf>
    <xf numFmtId="0" fontId="14" fillId="0" borderId="11" xfId="0" quotePrefix="1" applyFont="1" applyBorder="1" applyAlignment="1" applyProtection="1">
      <alignment horizontal="left"/>
      <protection hidden="1"/>
    </xf>
    <xf numFmtId="1" fontId="14" fillId="0" borderId="1" xfId="0" applyNumberFormat="1" applyFont="1" applyBorder="1" applyAlignment="1" applyProtection="1">
      <alignment horizontal="center"/>
      <protection hidden="1"/>
    </xf>
    <xf numFmtId="0" fontId="14" fillId="0" borderId="30" xfId="0" applyNumberFormat="1" applyFont="1" applyBorder="1" applyAlignment="1" applyProtection="1">
      <alignment horizontal="center"/>
      <protection hidden="1"/>
    </xf>
    <xf numFmtId="49" fontId="3" fillId="0" borderId="0" xfId="0" applyNumberFormat="1" applyFont="1" applyFill="1" applyBorder="1" applyAlignment="1" applyProtection="1">
      <alignment horizontal="center"/>
      <protection hidden="1"/>
    </xf>
    <xf numFmtId="0" fontId="14" fillId="2" borderId="2" xfId="0" applyFont="1" applyFill="1" applyBorder="1" applyAlignment="1" applyProtection="1">
      <alignment horizontal="center"/>
      <protection hidden="1"/>
    </xf>
    <xf numFmtId="0" fontId="14" fillId="2" borderId="2" xfId="0" applyFont="1" applyFill="1" applyBorder="1" applyProtection="1">
      <alignment vertical="top"/>
      <protection hidden="1"/>
    </xf>
    <xf numFmtId="0" fontId="14" fillId="2" borderId="3" xfId="0" applyFont="1" applyFill="1" applyBorder="1" applyAlignment="1" applyProtection="1">
      <alignment horizontal="center" vertical="top"/>
      <protection hidden="1"/>
    </xf>
    <xf numFmtId="0" fontId="14" fillId="2" borderId="0" xfId="0" applyFont="1" applyFill="1" applyBorder="1" applyProtection="1">
      <alignment vertical="top"/>
      <protection hidden="1"/>
    </xf>
    <xf numFmtId="0" fontId="16" fillId="0" borderId="1" xfId="0" applyFont="1" applyFill="1" applyBorder="1" applyAlignment="1" applyProtection="1">
      <protection hidden="1"/>
    </xf>
    <xf numFmtId="0" fontId="17" fillId="0" borderId="1" xfId="0" applyFont="1" applyFill="1" applyBorder="1" applyAlignment="1" applyProtection="1">
      <protection hidden="1"/>
    </xf>
    <xf numFmtId="0" fontId="17" fillId="0" borderId="14" xfId="0" applyFont="1" applyFill="1" applyBorder="1" applyAlignment="1" applyProtection="1">
      <protection hidden="1"/>
    </xf>
    <xf numFmtId="0" fontId="17" fillId="2" borderId="0" xfId="0" applyFont="1" applyFill="1" applyBorder="1" applyAlignment="1" applyProtection="1">
      <protection hidden="1"/>
    </xf>
    <xf numFmtId="49" fontId="18" fillId="12" borderId="30" xfId="0" applyNumberFormat="1" applyFont="1" applyFill="1" applyBorder="1" applyAlignment="1" applyProtection="1">
      <alignment horizontal="center" wrapText="1"/>
      <protection hidden="1"/>
    </xf>
    <xf numFmtId="0" fontId="17" fillId="2" borderId="47" xfId="0" applyFont="1" applyFill="1" applyBorder="1" applyAlignment="1" applyProtection="1">
      <protection hidden="1"/>
    </xf>
    <xf numFmtId="0" fontId="17" fillId="2" borderId="11" xfId="0" applyFont="1" applyFill="1" applyBorder="1" applyAlignment="1" applyProtection="1">
      <protection hidden="1"/>
    </xf>
    <xf numFmtId="0" fontId="14" fillId="0" borderId="14" xfId="0" applyFont="1" applyFill="1" applyBorder="1" applyAlignment="1" applyProtection="1">
      <alignment horizontal="center"/>
      <protection hidden="1"/>
    </xf>
    <xf numFmtId="49" fontId="18" fillId="12" borderId="48" xfId="0" applyNumberFormat="1" applyFont="1" applyFill="1" applyBorder="1" applyAlignment="1" applyProtection="1">
      <alignment horizontal="center" wrapText="1"/>
      <protection hidden="1"/>
    </xf>
    <xf numFmtId="164" fontId="13" fillId="0" borderId="4" xfId="0" applyNumberFormat="1" applyFont="1" applyFill="1" applyBorder="1" applyAlignment="1" applyProtection="1">
      <alignment horizontal="center"/>
      <protection hidden="1"/>
    </xf>
    <xf numFmtId="164" fontId="13" fillId="0" borderId="5" xfId="0" applyNumberFormat="1" applyFont="1" applyFill="1" applyBorder="1" applyAlignment="1" applyProtection="1">
      <alignment horizontal="center"/>
      <protection hidden="1"/>
    </xf>
    <xf numFmtId="164" fontId="13" fillId="0" borderId="5" xfId="0" applyNumberFormat="1" applyFont="1" applyBorder="1" applyAlignment="1" applyProtection="1">
      <alignment horizontal="center" wrapText="1"/>
      <protection hidden="1"/>
    </xf>
    <xf numFmtId="164" fontId="13" fillId="0" borderId="6" xfId="0" applyNumberFormat="1" applyFont="1" applyBorder="1" applyAlignment="1" applyProtection="1">
      <alignment horizontal="center" wrapText="1"/>
      <protection hidden="1"/>
    </xf>
    <xf numFmtId="164" fontId="3" fillId="0" borderId="1" xfId="0" applyNumberFormat="1" applyFont="1" applyBorder="1" applyAlignment="1" applyProtection="1">
      <alignment horizontal="center"/>
      <protection hidden="1"/>
    </xf>
    <xf numFmtId="164"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9" fontId="3" fillId="0" borderId="1" xfId="0" applyNumberFormat="1" applyFont="1" applyBorder="1" applyAlignment="1" applyProtection="1">
      <alignment horizontal="center"/>
      <protection hidden="1"/>
    </xf>
    <xf numFmtId="164" fontId="13" fillId="0" borderId="61" xfId="0" applyNumberFormat="1" applyFont="1" applyFill="1" applyBorder="1" applyAlignment="1" applyProtection="1">
      <alignment horizontal="center"/>
      <protection hidden="1"/>
    </xf>
    <xf numFmtId="164" fontId="13" fillId="0" borderId="45" xfId="0" applyNumberFormat="1" applyFont="1" applyFill="1" applyBorder="1" applyAlignment="1" applyProtection="1">
      <alignment horizontal="center"/>
      <protection hidden="1"/>
    </xf>
    <xf numFmtId="164" fontId="13" fillId="0" borderId="45" xfId="0" applyNumberFormat="1" applyFont="1" applyFill="1" applyBorder="1" applyAlignment="1" applyProtection="1">
      <alignment horizontal="center" wrapText="1"/>
      <protection hidden="1"/>
    </xf>
    <xf numFmtId="165" fontId="13" fillId="0" borderId="45" xfId="0" applyNumberFormat="1" applyFont="1" applyBorder="1" applyAlignment="1" applyProtection="1">
      <alignment horizontal="center" wrapText="1"/>
      <protection hidden="1"/>
    </xf>
    <xf numFmtId="0" fontId="13" fillId="0" borderId="55" xfId="0" applyFont="1" applyFill="1" applyBorder="1" applyAlignment="1" applyProtection="1">
      <alignment horizontal="center" wrapText="1"/>
      <protection hidden="1"/>
    </xf>
    <xf numFmtId="49" fontId="3" fillId="0" borderId="35" xfId="0" applyNumberFormat="1" applyFont="1" applyBorder="1" applyAlignment="1" applyProtection="1">
      <alignment horizontal="center" vertical="top"/>
      <protection hidden="1"/>
    </xf>
    <xf numFmtId="49" fontId="3" fillId="0" borderId="35" xfId="0" applyNumberFormat="1" applyFont="1" applyBorder="1" applyAlignment="1" applyProtection="1">
      <alignment horizontal="center"/>
      <protection hidden="1"/>
    </xf>
    <xf numFmtId="2" fontId="24"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2" fontId="13" fillId="0" borderId="0" xfId="0" applyNumberFormat="1" applyFont="1" applyFill="1" applyBorder="1" applyAlignment="1" applyProtection="1">
      <protection locked="0"/>
    </xf>
    <xf numFmtId="49" fontId="13" fillId="0" borderId="0" xfId="0" applyNumberFormat="1" applyFont="1" applyBorder="1" applyAlignment="1" applyProtection="1">
      <alignment horizontal="left"/>
      <protection locked="0"/>
    </xf>
    <xf numFmtId="0" fontId="0" fillId="0" borderId="0" xfId="0"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0" fontId="13" fillId="0" borderId="0" xfId="1" applyFont="1" applyBorder="1" applyAlignment="1" applyProtection="1">
      <protection locked="0"/>
    </xf>
    <xf numFmtId="49" fontId="14" fillId="0" borderId="11" xfId="0" applyNumberFormat="1" applyFont="1" applyFill="1" applyBorder="1" applyAlignment="1" applyProtection="1">
      <alignment horizontal="center" vertical="center"/>
      <protection locked="0"/>
    </xf>
    <xf numFmtId="49" fontId="14" fillId="0" borderId="1" xfId="1" applyNumberFormat="1" applyFont="1" applyBorder="1" applyAlignment="1" applyProtection="1">
      <alignment horizontal="center"/>
      <protection hidden="1"/>
    </xf>
    <xf numFmtId="0" fontId="13" fillId="2" borderId="59" xfId="1" applyFont="1" applyFill="1" applyBorder="1" applyAlignment="1" applyProtection="1">
      <protection hidden="1"/>
    </xf>
    <xf numFmtId="0" fontId="13" fillId="2" borderId="60" xfId="1" applyFont="1" applyFill="1" applyBorder="1" applyAlignment="1" applyProtection="1">
      <protection hidden="1"/>
    </xf>
    <xf numFmtId="0" fontId="13" fillId="5" borderId="42" xfId="1" applyFont="1" applyFill="1" applyBorder="1" applyAlignment="1" applyProtection="1">
      <alignment horizontal="center" wrapText="1"/>
      <protection hidden="1"/>
    </xf>
    <xf numFmtId="0" fontId="13" fillId="6" borderId="42" xfId="1" applyFont="1" applyFill="1" applyBorder="1" applyAlignment="1" applyProtection="1">
      <alignment horizontal="center" wrapText="1"/>
      <protection hidden="1"/>
    </xf>
    <xf numFmtId="0" fontId="13" fillId="5" borderId="43" xfId="1" applyFont="1" applyFill="1" applyBorder="1" applyAlignment="1" applyProtection="1">
      <alignment horizontal="center" wrapText="1"/>
      <protection hidden="1"/>
    </xf>
    <xf numFmtId="165" fontId="13" fillId="6" borderId="44" xfId="1" applyNumberFormat="1" applyFont="1" applyFill="1" applyBorder="1" applyAlignment="1" applyProtection="1">
      <alignment horizontal="center" wrapText="1"/>
      <protection hidden="1"/>
    </xf>
    <xf numFmtId="0" fontId="13" fillId="0" borderId="41" xfId="1" applyFont="1" applyBorder="1" applyAlignment="1" applyProtection="1">
      <alignment horizontal="right"/>
      <protection hidden="1"/>
    </xf>
    <xf numFmtId="164" fontId="13" fillId="0" borderId="42" xfId="1" applyNumberFormat="1" applyFont="1" applyFill="1" applyBorder="1" applyProtection="1">
      <protection hidden="1"/>
    </xf>
    <xf numFmtId="164" fontId="14" fillId="5" borderId="57" xfId="1" applyNumberFormat="1" applyFont="1" applyFill="1" applyBorder="1" applyProtection="1">
      <protection hidden="1"/>
    </xf>
    <xf numFmtId="164" fontId="14" fillId="6" borderId="54" xfId="1" applyNumberFormat="1" applyFont="1" applyFill="1" applyBorder="1" applyProtection="1">
      <protection hidden="1"/>
    </xf>
    <xf numFmtId="0" fontId="13" fillId="12" borderId="55" xfId="1" applyFont="1" applyFill="1" applyBorder="1" applyAlignment="1" applyProtection="1">
      <alignment horizontal="center"/>
      <protection hidden="1"/>
    </xf>
    <xf numFmtId="0" fontId="13" fillId="12" borderId="56" xfId="1" applyFont="1" applyFill="1" applyBorder="1" applyAlignment="1" applyProtection="1">
      <alignment horizontal="center"/>
      <protection hidden="1"/>
    </xf>
    <xf numFmtId="164" fontId="13" fillId="0" borderId="44" xfId="1" applyNumberFormat="1" applyFont="1" applyFill="1" applyBorder="1" applyProtection="1">
      <protection hidden="1"/>
    </xf>
    <xf numFmtId="49" fontId="0" fillId="0" borderId="0" xfId="0" applyNumberFormat="1" applyBorder="1" applyAlignment="1" applyProtection="1">
      <protection locked="0"/>
    </xf>
    <xf numFmtId="0" fontId="0" fillId="0" borderId="0" xfId="0" applyAlignment="1" applyProtection="1">
      <protection locked="0"/>
    </xf>
    <xf numFmtId="0" fontId="14" fillId="8" borderId="0" xfId="0" applyFont="1" applyFill="1" applyProtection="1">
      <alignment vertical="top"/>
      <protection locked="0"/>
    </xf>
    <xf numFmtId="0" fontId="14" fillId="0" borderId="0" xfId="0" applyFont="1" applyAlignment="1" applyProtection="1">
      <alignment horizontal="center" vertical="top"/>
      <protection locked="0"/>
    </xf>
    <xf numFmtId="0" fontId="13" fillId="8" borderId="0" xfId="0" applyFont="1" applyFill="1" applyProtection="1">
      <alignment vertical="top"/>
      <protection locked="0"/>
    </xf>
    <xf numFmtId="0" fontId="13" fillId="0" borderId="0" xfId="0" applyFont="1" applyAlignment="1" applyProtection="1">
      <protection locked="0"/>
    </xf>
    <xf numFmtId="0" fontId="13" fillId="2" borderId="35" xfId="0" applyFont="1" applyFill="1" applyBorder="1" applyProtection="1">
      <alignment vertical="top"/>
      <protection hidden="1"/>
    </xf>
    <xf numFmtId="0" fontId="14" fillId="2" borderId="8" xfId="0" applyFont="1" applyFill="1" applyBorder="1" applyProtection="1">
      <alignment vertical="top"/>
      <protection hidden="1"/>
    </xf>
    <xf numFmtId="0" fontId="14" fillId="2" borderId="37" xfId="0" applyFont="1" applyFill="1" applyBorder="1" applyProtection="1">
      <alignment vertical="top"/>
      <protection hidden="1"/>
    </xf>
    <xf numFmtId="49" fontId="14" fillId="0" borderId="45" xfId="0" applyNumberFormat="1" applyFont="1" applyBorder="1" applyAlignment="1" applyProtection="1">
      <alignment horizontal="center" vertical="top"/>
      <protection hidden="1"/>
    </xf>
    <xf numFmtId="49" fontId="14" fillId="0" borderId="45" xfId="0" applyNumberFormat="1" applyFont="1" applyFill="1" applyBorder="1" applyAlignment="1" applyProtection="1">
      <alignment horizontal="center" vertical="top"/>
      <protection hidden="1"/>
    </xf>
    <xf numFmtId="49" fontId="14" fillId="0" borderId="1" xfId="0" applyNumberFormat="1" applyFont="1" applyBorder="1" applyAlignment="1" applyProtection="1">
      <alignment horizontal="center" vertical="top"/>
      <protection hidden="1"/>
    </xf>
    <xf numFmtId="0" fontId="13" fillId="0" borderId="1" xfId="0" applyFont="1" applyBorder="1" applyAlignment="1" applyProtection="1">
      <alignment horizontal="center" wrapText="1"/>
      <protection hidden="1"/>
    </xf>
    <xf numFmtId="0" fontId="13" fillId="16" borderId="1" xfId="0" applyFont="1" applyFill="1" applyBorder="1" applyAlignment="1" applyProtection="1">
      <alignment horizontal="center" wrapText="1"/>
      <protection hidden="1"/>
    </xf>
    <xf numFmtId="0" fontId="13" fillId="7" borderId="1" xfId="0" applyFont="1" applyFill="1" applyBorder="1" applyAlignment="1" applyProtection="1">
      <alignment horizontal="right" vertical="top"/>
      <protection hidden="1"/>
    </xf>
    <xf numFmtId="2" fontId="13" fillId="7" borderId="1" xfId="0" applyNumberFormat="1" applyFont="1" applyFill="1" applyBorder="1" applyProtection="1">
      <alignment vertical="top"/>
      <protection hidden="1"/>
    </xf>
    <xf numFmtId="164" fontId="13" fillId="7" borderId="1" xfId="0" applyNumberFormat="1" applyFont="1" applyFill="1" applyBorder="1" applyProtection="1">
      <alignment vertical="top"/>
      <protection hidden="1"/>
    </xf>
    <xf numFmtId="0" fontId="13" fillId="2" borderId="35" xfId="0" applyFont="1" applyFill="1" applyBorder="1" applyAlignment="1" applyProtection="1">
      <alignment horizontal="left" vertical="top"/>
      <protection hidden="1"/>
    </xf>
    <xf numFmtId="0" fontId="13" fillId="7" borderId="46" xfId="0" applyFont="1" applyFill="1" applyBorder="1" applyAlignment="1" applyProtection="1">
      <alignment horizontal="right" vertical="top"/>
      <protection hidden="1"/>
    </xf>
    <xf numFmtId="2" fontId="13" fillId="7" borderId="46" xfId="0" applyNumberFormat="1" applyFont="1" applyFill="1" applyBorder="1" applyProtection="1">
      <alignment vertical="top"/>
      <protection hidden="1"/>
    </xf>
    <xf numFmtId="164" fontId="13" fillId="7" borderId="46" xfId="0" applyNumberFormat="1" applyFont="1" applyFill="1" applyBorder="1" applyProtection="1">
      <alignment vertical="top"/>
      <protection hidden="1"/>
    </xf>
    <xf numFmtId="164" fontId="13" fillId="11" borderId="24" xfId="0" applyNumberFormat="1" applyFont="1" applyFill="1" applyBorder="1" applyProtection="1">
      <alignment vertical="top"/>
      <protection hidden="1"/>
    </xf>
    <xf numFmtId="164" fontId="13" fillId="11" borderId="1" xfId="0" applyNumberFormat="1" applyFont="1" applyFill="1" applyBorder="1" applyProtection="1">
      <alignment vertical="top"/>
      <protection hidden="1"/>
    </xf>
    <xf numFmtId="0" fontId="14" fillId="0" borderId="0" xfId="0" applyFont="1" applyProtection="1">
      <alignment vertical="top"/>
      <protection hidden="1"/>
    </xf>
    <xf numFmtId="164" fontId="13" fillId="17" borderId="1" xfId="0" applyNumberFormat="1" applyFont="1" applyFill="1" applyBorder="1" applyProtection="1">
      <alignment vertical="top"/>
      <protection hidden="1"/>
    </xf>
    <xf numFmtId="164" fontId="13" fillId="6" borderId="24" xfId="0" applyNumberFormat="1" applyFont="1" applyFill="1" applyBorder="1" applyAlignment="1" applyProtection="1">
      <protection hidden="1"/>
    </xf>
    <xf numFmtId="0" fontId="13" fillId="6" borderId="24" xfId="0" applyFont="1" applyFill="1" applyBorder="1" applyAlignment="1" applyProtection="1">
      <alignment horizontal="right"/>
      <protection hidden="1"/>
    </xf>
    <xf numFmtId="2" fontId="13" fillId="6" borderId="24" xfId="0" applyNumberFormat="1" applyFont="1" applyFill="1" applyBorder="1" applyAlignment="1" applyProtection="1">
      <protection hidden="1"/>
    </xf>
    <xf numFmtId="0" fontId="20" fillId="0" borderId="0" xfId="0" applyFont="1" applyAlignment="1" applyProtection="1">
      <alignment wrapText="1"/>
      <protection locked="0"/>
    </xf>
    <xf numFmtId="0" fontId="23" fillId="0" borderId="0" xfId="0" applyFont="1" applyProtection="1">
      <alignment vertical="top"/>
      <protection locked="0"/>
    </xf>
    <xf numFmtId="0" fontId="23" fillId="0" borderId="0" xfId="0" applyFont="1" applyAlignment="1" applyProtection="1">
      <protection locked="0"/>
    </xf>
    <xf numFmtId="166" fontId="23" fillId="0" borderId="0" xfId="0" applyNumberFormat="1" applyFont="1" applyFill="1" applyProtection="1">
      <alignment vertical="top"/>
      <protection locked="0"/>
    </xf>
    <xf numFmtId="0" fontId="20" fillId="0" borderId="0" xfId="0" applyFont="1" applyProtection="1">
      <alignment vertical="top"/>
      <protection locked="0"/>
    </xf>
    <xf numFmtId="0" fontId="23" fillId="0" borderId="0" xfId="0" applyFont="1" applyFill="1" applyProtection="1">
      <alignment vertical="top"/>
      <protection locked="0"/>
    </xf>
    <xf numFmtId="0" fontId="20" fillId="0" borderId="0" xfId="0" applyFont="1" applyFill="1" applyProtection="1">
      <alignment vertical="top"/>
      <protection locked="0"/>
    </xf>
    <xf numFmtId="0" fontId="30" fillId="0" borderId="0" xfId="0" applyFont="1" applyAlignment="1" applyProtection="1">
      <alignment wrapText="1"/>
      <protection hidden="1"/>
    </xf>
    <xf numFmtId="166" fontId="30" fillId="0" borderId="0" xfId="0" applyNumberFormat="1" applyFont="1" applyAlignment="1" applyProtection="1">
      <alignment horizontal="left" wrapText="1"/>
      <protection hidden="1"/>
    </xf>
    <xf numFmtId="166" fontId="19" fillId="0" borderId="0" xfId="0" applyNumberFormat="1" applyFont="1" applyFill="1" applyAlignment="1" applyProtection="1">
      <alignment wrapText="1"/>
      <protection hidden="1"/>
    </xf>
    <xf numFmtId="0" fontId="20" fillId="0" borderId="0" xfId="0" applyFont="1" applyAlignment="1" applyProtection="1">
      <alignment wrapText="1"/>
      <protection hidden="1"/>
    </xf>
    <xf numFmtId="0" fontId="23" fillId="0" borderId="0" xfId="0" applyFont="1" applyProtection="1">
      <alignment vertical="top"/>
      <protection hidden="1"/>
    </xf>
    <xf numFmtId="0" fontId="23" fillId="0" borderId="0" xfId="0" applyFont="1" applyAlignment="1" applyProtection="1">
      <protection hidden="1"/>
    </xf>
    <xf numFmtId="166" fontId="23" fillId="0" borderId="0" xfId="0" applyNumberFormat="1" applyFont="1" applyFill="1" applyProtection="1">
      <alignment vertical="top"/>
      <protection hidden="1"/>
    </xf>
    <xf numFmtId="0" fontId="20" fillId="0" borderId="0" xfId="0" applyFont="1" applyProtection="1">
      <alignment vertical="top"/>
      <protection hidden="1"/>
    </xf>
    <xf numFmtId="0" fontId="23" fillId="0" borderId="0" xfId="0" applyFont="1" applyAlignment="1" applyProtection="1">
      <alignment horizontal="left"/>
      <protection hidden="1"/>
    </xf>
    <xf numFmtId="164" fontId="13" fillId="12" borderId="5" xfId="0" applyNumberFormat="1" applyFont="1" applyFill="1" applyBorder="1" applyProtection="1">
      <alignment vertical="top"/>
      <protection hidden="1"/>
    </xf>
    <xf numFmtId="164" fontId="13" fillId="12" borderId="22" xfId="0" applyNumberFormat="1" applyFont="1" applyFill="1" applyBorder="1" applyProtection="1">
      <alignment vertical="top"/>
      <protection hidden="1"/>
    </xf>
    <xf numFmtId="0" fontId="32" fillId="0" borderId="77" xfId="0" applyFont="1" applyFill="1" applyBorder="1" applyAlignment="1" applyProtection="1">
      <alignment vertical="center"/>
      <protection locked="0"/>
    </xf>
    <xf numFmtId="3" fontId="32" fillId="0" borderId="1" xfId="0" applyNumberFormat="1" applyFont="1" applyBorder="1" applyAlignment="1" applyProtection="1">
      <alignment vertical="center"/>
      <protection locked="0"/>
    </xf>
    <xf numFmtId="38" fontId="32" fillId="0" borderId="35" xfId="2" applyNumberFormat="1" applyFont="1" applyBorder="1" applyAlignment="1" applyProtection="1">
      <alignment vertical="center"/>
      <protection locked="0"/>
    </xf>
    <xf numFmtId="0" fontId="32" fillId="0" borderId="78" xfId="3" applyFont="1" applyBorder="1" applyAlignment="1" applyProtection="1">
      <alignment vertical="center"/>
      <protection locked="0"/>
    </xf>
    <xf numFmtId="3" fontId="32" fillId="0" borderId="1" xfId="2" applyNumberFormat="1" applyFont="1" applyFill="1" applyBorder="1" applyAlignment="1" applyProtection="1">
      <alignment vertical="center"/>
      <protection locked="0"/>
    </xf>
    <xf numFmtId="167" fontId="32" fillId="0" borderId="37" xfId="0" applyNumberFormat="1" applyFont="1" applyBorder="1" applyAlignment="1" applyProtection="1">
      <alignment vertical="center"/>
      <protection locked="0"/>
    </xf>
    <xf numFmtId="167" fontId="32" fillId="0" borderId="37" xfId="0" applyNumberFormat="1" applyFont="1" applyFill="1" applyBorder="1" applyAlignment="1" applyProtection="1">
      <alignment vertical="center"/>
      <protection locked="0"/>
    </xf>
    <xf numFmtId="3" fontId="13" fillId="0" borderId="1" xfId="0" applyNumberFormat="1" applyFont="1" applyBorder="1" applyAlignment="1" applyProtection="1">
      <alignment horizontal="center" wrapText="1"/>
      <protection locked="0"/>
    </xf>
    <xf numFmtId="38" fontId="13" fillId="0" borderId="1" xfId="0" applyNumberFormat="1" applyFont="1" applyBorder="1" applyAlignment="1" applyProtection="1">
      <alignment horizontal="center" wrapText="1"/>
      <protection locked="0"/>
    </xf>
    <xf numFmtId="3" fontId="1" fillId="0" borderId="1" xfId="0" applyNumberFormat="1" applyFont="1" applyBorder="1" applyAlignment="1" applyProtection="1">
      <protection locked="0"/>
    </xf>
    <xf numFmtId="1" fontId="14" fillId="0" borderId="1" xfId="0" applyNumberFormat="1" applyFont="1" applyFill="1" applyBorder="1" applyAlignment="1" applyProtection="1">
      <alignment horizontal="center" vertical="top"/>
      <protection locked="0"/>
    </xf>
    <xf numFmtId="0" fontId="14" fillId="0" borderId="1" xfId="0" applyFont="1" applyFill="1" applyBorder="1" applyAlignment="1" applyProtection="1">
      <alignment horizontal="center"/>
      <protection locked="0"/>
    </xf>
    <xf numFmtId="1" fontId="14" fillId="0" borderId="1"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 xfId="0" applyFont="1" applyFill="1" applyBorder="1" applyAlignment="1" applyProtection="1">
      <alignment vertical="center"/>
      <protection locked="0"/>
    </xf>
    <xf numFmtId="2" fontId="14" fillId="0" borderId="1" xfId="0" applyNumberFormat="1"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1" fontId="14" fillId="0" borderId="14" xfId="0" applyNumberFormat="1" applyFont="1" applyFill="1" applyBorder="1" applyAlignment="1" applyProtection="1">
      <alignment horizontal="center" vertical="top"/>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vertical="center"/>
      <protection locked="0"/>
    </xf>
    <xf numFmtId="1" fontId="14" fillId="0" borderId="14" xfId="0" applyNumberFormat="1" applyFont="1" applyFill="1" applyBorder="1" applyAlignment="1" applyProtection="1">
      <alignment horizontal="center" vertical="center"/>
      <protection locked="0"/>
    </xf>
    <xf numFmtId="164" fontId="14" fillId="19" borderId="1" xfId="0" applyNumberFormat="1" applyFont="1" applyFill="1" applyBorder="1" applyProtection="1">
      <alignment vertical="top"/>
      <protection locked="0"/>
    </xf>
    <xf numFmtId="164" fontId="14" fillId="19" borderId="24" xfId="0" applyNumberFormat="1" applyFont="1" applyFill="1" applyBorder="1" applyProtection="1">
      <alignment vertical="top"/>
      <protection locked="0"/>
    </xf>
    <xf numFmtId="164" fontId="14" fillId="19" borderId="14" xfId="0" applyNumberFormat="1" applyFont="1" applyFill="1" applyBorder="1" applyProtection="1">
      <alignment vertical="top"/>
      <protection locked="0"/>
    </xf>
    <xf numFmtId="2" fontId="20" fillId="0" borderId="1" xfId="0" applyNumberFormat="1" applyFont="1" applyBorder="1" applyAlignment="1" applyProtection="1">
      <alignment horizontal="center"/>
      <protection locked="0"/>
    </xf>
    <xf numFmtId="2" fontId="20" fillId="0" borderId="1" xfId="0" applyNumberFormat="1" applyFont="1" applyFill="1" applyBorder="1" applyAlignment="1" applyProtection="1">
      <alignment horizontal="center"/>
      <protection locked="0"/>
    </xf>
    <xf numFmtId="6" fontId="33" fillId="0" borderId="0" xfId="0" applyNumberFormat="1" applyFont="1" applyAlignment="1">
      <alignment vertical="center"/>
    </xf>
    <xf numFmtId="0" fontId="7" fillId="5" borderId="0" xfId="0" applyFont="1" applyFill="1" applyBorder="1" applyAlignment="1">
      <alignment horizontal="center" vertical="top"/>
    </xf>
    <xf numFmtId="0" fontId="7" fillId="9" borderId="0" xfId="0" applyFont="1" applyFill="1" applyBorder="1" applyAlignment="1">
      <alignment horizontal="center" vertical="top"/>
    </xf>
    <xf numFmtId="0" fontId="7" fillId="10" borderId="0" xfId="0" applyFont="1" applyFill="1" applyBorder="1" applyAlignment="1">
      <alignment horizontal="center" vertical="top"/>
    </xf>
    <xf numFmtId="0" fontId="9" fillId="0" borderId="11" xfId="0" applyFont="1" applyBorder="1" applyAlignment="1">
      <alignment vertical="top" wrapText="1"/>
    </xf>
    <xf numFmtId="0" fontId="0" fillId="0" borderId="68" xfId="0" applyBorder="1" applyAlignment="1">
      <alignment vertical="top" wrapText="1"/>
    </xf>
    <xf numFmtId="2" fontId="13" fillId="4" borderId="69" xfId="0" applyNumberFormat="1" applyFont="1" applyFill="1" applyBorder="1" applyAlignment="1" applyProtection="1">
      <alignment horizontal="right" vertical="top"/>
      <protection locked="0"/>
    </xf>
    <xf numFmtId="2" fontId="13" fillId="4" borderId="70" xfId="0" applyNumberFormat="1" applyFont="1" applyFill="1" applyBorder="1" applyAlignment="1" applyProtection="1">
      <alignment horizontal="right" vertical="top"/>
      <protection locked="0"/>
    </xf>
    <xf numFmtId="2" fontId="13" fillId="4" borderId="71" xfId="0" applyNumberFormat="1" applyFont="1" applyFill="1" applyBorder="1" applyAlignment="1" applyProtection="1">
      <alignment horizontal="right" vertical="top"/>
      <protection locked="0"/>
    </xf>
    <xf numFmtId="2" fontId="19" fillId="0" borderId="0" xfId="0" applyNumberFormat="1" applyFont="1" applyFill="1" applyBorder="1" applyAlignment="1" applyProtection="1">
      <alignment horizontal="left"/>
      <protection locked="0"/>
    </xf>
    <xf numFmtId="0" fontId="13" fillId="2" borderId="11" xfId="0" applyFont="1" applyFill="1" applyBorder="1" applyAlignment="1" applyProtection="1">
      <alignment horizontal="left"/>
      <protection hidden="1"/>
    </xf>
    <xf numFmtId="3" fontId="13" fillId="2" borderId="47" xfId="0" applyNumberFormat="1" applyFont="1" applyFill="1" applyBorder="1" applyAlignment="1" applyProtection="1">
      <alignment horizontal="left"/>
      <protection hidden="1"/>
    </xf>
    <xf numFmtId="3" fontId="13" fillId="2" borderId="72" xfId="0" applyNumberFormat="1" applyFont="1" applyFill="1" applyBorder="1" applyAlignment="1" applyProtection="1">
      <alignment horizontal="left"/>
      <protection hidden="1"/>
    </xf>
    <xf numFmtId="0" fontId="13" fillId="2" borderId="8" xfId="0" applyFont="1" applyFill="1" applyBorder="1" applyAlignment="1" applyProtection="1">
      <alignment horizontal="left"/>
      <protection hidden="1"/>
    </xf>
    <xf numFmtId="0" fontId="13" fillId="2" borderId="72" xfId="0" applyFont="1" applyFill="1" applyBorder="1" applyAlignment="1" applyProtection="1">
      <alignment horizontal="left"/>
      <protection hidden="1"/>
    </xf>
    <xf numFmtId="0" fontId="13" fillId="2" borderId="47" xfId="0" applyFont="1" applyFill="1" applyBorder="1" applyAlignment="1" applyProtection="1">
      <alignment horizontal="left"/>
      <protection hidden="1"/>
    </xf>
    <xf numFmtId="164" fontId="3" fillId="0" borderId="1" xfId="0" quotePrefix="1" applyNumberFormat="1" applyFont="1" applyBorder="1" applyAlignment="1" applyProtection="1">
      <alignment horizontal="center"/>
      <protection hidden="1"/>
    </xf>
    <xf numFmtId="164" fontId="3" fillId="0" borderId="1" xfId="0" applyNumberFormat="1" applyFont="1" applyBorder="1" applyAlignment="1" applyProtection="1">
      <alignment horizontal="center"/>
      <protection hidden="1"/>
    </xf>
    <xf numFmtId="164" fontId="13" fillId="18" borderId="73" xfId="0" applyNumberFormat="1" applyFont="1" applyFill="1" applyBorder="1" applyAlignment="1" applyProtection="1">
      <alignment horizontal="center" vertical="top"/>
      <protection hidden="1"/>
    </xf>
    <xf numFmtId="164" fontId="13" fillId="18" borderId="0" xfId="0" applyNumberFormat="1" applyFont="1" applyFill="1" applyBorder="1" applyAlignment="1" applyProtection="1">
      <alignment horizontal="center" vertical="top"/>
      <protection hidden="1"/>
    </xf>
    <xf numFmtId="0" fontId="19" fillId="0" borderId="0" xfId="0" applyFont="1" applyFill="1" applyBorder="1" applyAlignment="1" applyProtection="1">
      <alignment horizontal="center"/>
      <protection locked="0"/>
    </xf>
    <xf numFmtId="0" fontId="18" fillId="12" borderId="45" xfId="0" applyFont="1" applyFill="1" applyBorder="1" applyAlignment="1" applyProtection="1">
      <alignment horizontal="center" wrapText="1"/>
      <protection hidden="1"/>
    </xf>
    <xf numFmtId="0" fontId="18" fillId="12" borderId="30" xfId="0" applyFont="1" applyFill="1" applyBorder="1" applyAlignment="1" applyProtection="1">
      <alignment horizontal="center" wrapText="1"/>
      <protection hidden="1"/>
    </xf>
    <xf numFmtId="0" fontId="18" fillId="12" borderId="22" xfId="0" applyFont="1" applyFill="1" applyBorder="1" applyAlignment="1" applyProtection="1">
      <alignment horizontal="center" wrapText="1"/>
      <protection hidden="1"/>
    </xf>
    <xf numFmtId="0" fontId="18" fillId="12" borderId="58" xfId="0" applyFont="1" applyFill="1" applyBorder="1" applyAlignment="1" applyProtection="1">
      <alignment horizontal="center" wrapText="1"/>
      <protection hidden="1"/>
    </xf>
    <xf numFmtId="0" fontId="18" fillId="12" borderId="48" xfId="0" applyFont="1" applyFill="1" applyBorder="1" applyAlignment="1" applyProtection="1">
      <alignment horizontal="center" wrapText="1"/>
      <protection hidden="1"/>
    </xf>
    <xf numFmtId="0" fontId="18" fillId="12" borderId="74" xfId="0" applyFont="1" applyFill="1" applyBorder="1" applyAlignment="1" applyProtection="1">
      <alignment horizontal="center" wrapText="1"/>
      <protection hidden="1"/>
    </xf>
    <xf numFmtId="164" fontId="24" fillId="0" borderId="0" xfId="0" applyNumberFormat="1" applyFont="1" applyFill="1" applyAlignment="1" applyProtection="1">
      <alignment horizontal="center" vertical="center"/>
      <protection hidden="1"/>
    </xf>
    <xf numFmtId="0" fontId="24" fillId="0" borderId="0" xfId="0" applyFont="1" applyFill="1" applyAlignment="1" applyProtection="1">
      <alignment horizontal="center" vertical="center"/>
      <protection hidden="1"/>
    </xf>
    <xf numFmtId="49" fontId="20" fillId="0" borderId="35" xfId="1" applyNumberFormat="1" applyFont="1" applyBorder="1" applyAlignment="1" applyProtection="1">
      <alignment horizontal="left" vertical="top"/>
      <protection locked="0"/>
    </xf>
    <xf numFmtId="49" fontId="0" fillId="0" borderId="8" xfId="0" applyNumberFormat="1" applyBorder="1" applyAlignment="1" applyProtection="1">
      <alignment horizontal="left" vertical="top"/>
      <protection locked="0"/>
    </xf>
    <xf numFmtId="49" fontId="0" fillId="0" borderId="37" xfId="0" applyNumberFormat="1" applyBorder="1" applyAlignment="1" applyProtection="1">
      <alignment horizontal="left" vertical="top"/>
      <protection locked="0"/>
    </xf>
    <xf numFmtId="49" fontId="24" fillId="0" borderId="0" xfId="0" applyNumberFormat="1" applyFont="1" applyFill="1" applyBorder="1" applyAlignment="1" applyProtection="1">
      <alignment horizontal="center" vertical="center"/>
      <protection hidden="1"/>
    </xf>
    <xf numFmtId="0" fontId="0" fillId="0" borderId="0" xfId="0" applyAlignment="1" applyProtection="1">
      <alignment vertical="top"/>
      <protection hidden="1"/>
    </xf>
    <xf numFmtId="0" fontId="13" fillId="0" borderId="11" xfId="1" applyFont="1" applyBorder="1" applyAlignment="1" applyProtection="1">
      <alignment horizontal="left"/>
      <protection hidden="1"/>
    </xf>
    <xf numFmtId="0" fontId="0" fillId="0" borderId="11" xfId="0" applyBorder="1" applyAlignment="1" applyProtection="1">
      <alignment horizontal="left"/>
      <protection hidden="1"/>
    </xf>
    <xf numFmtId="0" fontId="13" fillId="2" borderId="75" xfId="1" applyFont="1" applyFill="1" applyBorder="1" applyAlignment="1" applyProtection="1">
      <alignment horizontal="center" wrapText="1"/>
      <protection hidden="1"/>
    </xf>
    <xf numFmtId="0" fontId="0" fillId="0" borderId="76" xfId="0" applyBorder="1" applyAlignment="1" applyProtection="1">
      <alignment horizontal="center"/>
      <protection hidden="1"/>
    </xf>
    <xf numFmtId="0" fontId="13" fillId="2" borderId="75" xfId="1" applyFont="1" applyFill="1" applyBorder="1" applyAlignment="1" applyProtection="1">
      <alignment horizontal="center"/>
      <protection hidden="1"/>
    </xf>
    <xf numFmtId="2" fontId="13" fillId="0" borderId="0" xfId="0" applyNumberFormat="1" applyFont="1" applyFill="1" applyBorder="1" applyAlignment="1" applyProtection="1">
      <alignment horizontal="left"/>
      <protection locked="0"/>
    </xf>
    <xf numFmtId="2" fontId="13" fillId="0" borderId="0" xfId="0" applyNumberFormat="1" applyFont="1" applyBorder="1" applyAlignment="1" applyProtection="1">
      <alignment horizontal="left"/>
      <protection locked="0"/>
    </xf>
    <xf numFmtId="0" fontId="0" fillId="0" borderId="0" xfId="0" applyBorder="1" applyAlignment="1" applyProtection="1">
      <protection locked="0"/>
    </xf>
    <xf numFmtId="49" fontId="13" fillId="2" borderId="8" xfId="0" applyNumberFormat="1" applyFont="1" applyFill="1" applyBorder="1" applyAlignment="1" applyProtection="1">
      <alignment horizontal="center"/>
      <protection hidden="1"/>
    </xf>
    <xf numFmtId="49" fontId="8" fillId="0" borderId="8" xfId="0" applyNumberFormat="1" applyFont="1" applyBorder="1" applyAlignment="1" applyProtection="1">
      <alignment horizontal="center"/>
      <protection hidden="1"/>
    </xf>
    <xf numFmtId="49" fontId="8" fillId="0" borderId="37" xfId="0" applyNumberFormat="1" applyFont="1" applyBorder="1" applyAlignment="1" applyProtection="1">
      <alignment horizontal="center"/>
      <protection hidden="1"/>
    </xf>
    <xf numFmtId="2" fontId="24" fillId="0" borderId="0" xfId="0" applyNumberFormat="1" applyFont="1" applyFill="1" applyBorder="1" applyAlignment="1" applyProtection="1">
      <alignment horizontal="center"/>
      <protection hidden="1"/>
    </xf>
    <xf numFmtId="0" fontId="19" fillId="0" borderId="0" xfId="0" applyFont="1" applyAlignment="1" applyProtection="1">
      <alignment horizontal="center" vertical="center"/>
    </xf>
    <xf numFmtId="0" fontId="0" fillId="0" borderId="0" xfId="0" applyAlignment="1">
      <alignment horizontal="center" vertical="top"/>
    </xf>
    <xf numFmtId="2" fontId="20" fillId="0" borderId="0" xfId="0" applyNumberFormat="1" applyFont="1" applyAlignment="1" applyProtection="1"/>
    <xf numFmtId="0" fontId="24" fillId="0" borderId="0" xfId="0" applyFont="1" applyAlignment="1" applyProtection="1">
      <alignment horizontal="center" vertical="center"/>
    </xf>
  </cellXfs>
  <cellStyles count="4">
    <cellStyle name="Comma" xfId="2" builtinId="3"/>
    <cellStyle name="Normal" xfId="0" builtinId="0"/>
    <cellStyle name="Normal_Book2" xfId="1"/>
    <cellStyle name="Normal_E6 Master" xfId="3"/>
  </cellStyles>
  <dxfs count="4">
    <dxf>
      <font>
        <b/>
        <i val="0"/>
        <condense val="0"/>
        <extend val="0"/>
      </font>
      <fill>
        <patternFill>
          <bgColor indexed="10"/>
        </patternFill>
      </fill>
    </dxf>
    <dxf>
      <font>
        <b/>
        <i val="0"/>
        <condense val="0"/>
        <extend val="0"/>
        <color auto="1"/>
      </font>
      <fill>
        <patternFill>
          <bgColor indexed="10"/>
        </patternFill>
      </fill>
    </dxf>
    <dxf>
      <font>
        <b/>
        <i val="0"/>
        <strike val="0"/>
        <condense val="0"/>
        <extend val="0"/>
      </font>
      <fill>
        <patternFill>
          <bgColor indexed="10"/>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C48"/>
  <sheetViews>
    <sheetView view="pageBreakPreview" zoomScaleNormal="100" workbookViewId="0">
      <selection sqref="A1:B1"/>
    </sheetView>
  </sheetViews>
  <sheetFormatPr defaultRowHeight="11.4" x14ac:dyDescent="0.2"/>
  <cols>
    <col min="1" max="1" width="6" style="5" customWidth="1"/>
    <col min="2" max="2" width="104.375" style="6" customWidth="1"/>
  </cols>
  <sheetData>
    <row r="1" spans="1:2" ht="13.8" x14ac:dyDescent="0.2">
      <c r="A1" s="393" t="s">
        <v>279</v>
      </c>
      <c r="B1" s="393"/>
    </row>
    <row r="2" spans="1:2" ht="13.2" x14ac:dyDescent="0.2">
      <c r="A2" s="89">
        <v>1</v>
      </c>
      <c r="B2" s="90" t="s">
        <v>268</v>
      </c>
    </row>
    <row r="3" spans="1:2" ht="13.2" x14ac:dyDescent="0.2">
      <c r="A3" s="7">
        <v>2</v>
      </c>
      <c r="B3" s="8" t="s">
        <v>269</v>
      </c>
    </row>
    <row r="4" spans="1:2" ht="26.4" x14ac:dyDescent="0.2">
      <c r="A4" s="7">
        <v>3</v>
      </c>
      <c r="B4" s="8" t="s">
        <v>271</v>
      </c>
    </row>
    <row r="5" spans="1:2" ht="29.25" customHeight="1" x14ac:dyDescent="0.2">
      <c r="A5" s="7">
        <v>4</v>
      </c>
      <c r="B5" s="8" t="s">
        <v>156</v>
      </c>
    </row>
    <row r="6" spans="1:2" ht="27.75" customHeight="1" x14ac:dyDescent="0.2">
      <c r="A6" s="7">
        <v>5</v>
      </c>
      <c r="B6" s="8" t="s">
        <v>195</v>
      </c>
    </row>
    <row r="7" spans="1:2" ht="14.25" customHeight="1" x14ac:dyDescent="0.2">
      <c r="A7" s="7">
        <v>6</v>
      </c>
      <c r="B7" s="8" t="s">
        <v>147</v>
      </c>
    </row>
    <row r="8" spans="1:2" ht="13.2" x14ac:dyDescent="0.2">
      <c r="A8" s="7">
        <v>7</v>
      </c>
      <c r="B8" s="8" t="s">
        <v>270</v>
      </c>
    </row>
    <row r="9" spans="1:2" ht="13.2" x14ac:dyDescent="0.2">
      <c r="A9" s="7">
        <v>8</v>
      </c>
      <c r="B9" s="8" t="s">
        <v>196</v>
      </c>
    </row>
    <row r="10" spans="1:2" ht="68.25" customHeight="1" x14ac:dyDescent="0.2">
      <c r="A10" s="7">
        <v>9</v>
      </c>
      <c r="B10" s="8" t="s">
        <v>265</v>
      </c>
    </row>
    <row r="11" spans="1:2" ht="13.2" x14ac:dyDescent="0.2">
      <c r="A11" s="7">
        <v>10</v>
      </c>
      <c r="B11" s="8" t="s">
        <v>161</v>
      </c>
    </row>
    <row r="12" spans="1:2" ht="13.2" x14ac:dyDescent="0.2">
      <c r="A12" s="7">
        <v>11</v>
      </c>
      <c r="B12" s="8" t="s">
        <v>197</v>
      </c>
    </row>
    <row r="13" spans="1:2" ht="13.2" x14ac:dyDescent="0.2">
      <c r="A13" s="7">
        <v>12</v>
      </c>
      <c r="B13" s="8" t="s">
        <v>199</v>
      </c>
    </row>
    <row r="14" spans="1:2" ht="13.2" x14ac:dyDescent="0.2">
      <c r="A14" s="7">
        <v>13</v>
      </c>
      <c r="B14" s="178" t="s">
        <v>266</v>
      </c>
    </row>
    <row r="15" spans="1:2" ht="13.2" x14ac:dyDescent="0.2">
      <c r="A15" s="7">
        <v>14</v>
      </c>
      <c r="B15" s="8" t="s">
        <v>198</v>
      </c>
    </row>
    <row r="16" spans="1:2" ht="13.2" x14ac:dyDescent="0.2">
      <c r="A16" s="7">
        <v>15</v>
      </c>
      <c r="B16" s="8" t="s">
        <v>162</v>
      </c>
    </row>
    <row r="17" spans="1:2" ht="13.2" x14ac:dyDescent="0.2">
      <c r="A17" s="7">
        <v>16</v>
      </c>
      <c r="B17" s="9" t="s">
        <v>163</v>
      </c>
    </row>
    <row r="18" spans="1:2" ht="16.5" customHeight="1" x14ac:dyDescent="0.2">
      <c r="A18" s="181">
        <v>17</v>
      </c>
      <c r="B18" s="8" t="s">
        <v>200</v>
      </c>
    </row>
    <row r="20" spans="1:2" ht="13.8" x14ac:dyDescent="0.2">
      <c r="A20" s="394" t="s">
        <v>276</v>
      </c>
      <c r="B20" s="394"/>
    </row>
    <row r="21" spans="1:2" ht="13.2" x14ac:dyDescent="0.2">
      <c r="A21" s="89">
        <v>1</v>
      </c>
      <c r="B21" s="77" t="s">
        <v>272</v>
      </c>
    </row>
    <row r="22" spans="1:2" ht="13.2" x14ac:dyDescent="0.2">
      <c r="A22" s="7">
        <v>2</v>
      </c>
      <c r="B22" s="8" t="s">
        <v>273</v>
      </c>
    </row>
    <row r="23" spans="1:2" ht="13.2" x14ac:dyDescent="0.2">
      <c r="A23" s="7">
        <v>3</v>
      </c>
      <c r="B23" s="8" t="s">
        <v>148</v>
      </c>
    </row>
    <row r="24" spans="1:2" ht="26.4" x14ac:dyDescent="0.2">
      <c r="A24" s="7">
        <v>4</v>
      </c>
      <c r="B24" s="8" t="s">
        <v>169</v>
      </c>
    </row>
    <row r="25" spans="1:2" ht="53.25" customHeight="1" x14ac:dyDescent="0.2">
      <c r="A25" s="185" t="s">
        <v>275</v>
      </c>
      <c r="B25" s="8" t="s">
        <v>176</v>
      </c>
    </row>
    <row r="26" spans="1:2" ht="13.2" x14ac:dyDescent="0.2">
      <c r="A26" s="7">
        <v>10</v>
      </c>
      <c r="B26" s="8" t="s">
        <v>204</v>
      </c>
    </row>
    <row r="27" spans="1:2" ht="13.2" x14ac:dyDescent="0.2">
      <c r="A27" s="7">
        <v>11</v>
      </c>
      <c r="B27" s="8" t="s">
        <v>170</v>
      </c>
    </row>
    <row r="28" spans="1:2" ht="13.2" x14ac:dyDescent="0.2">
      <c r="A28" s="7">
        <v>12</v>
      </c>
      <c r="B28" s="91" t="s">
        <v>205</v>
      </c>
    </row>
    <row r="29" spans="1:2" ht="13.2" x14ac:dyDescent="0.2">
      <c r="A29" s="7">
        <v>13</v>
      </c>
      <c r="B29" s="8" t="s">
        <v>171</v>
      </c>
    </row>
    <row r="30" spans="1:2" ht="13.2" x14ac:dyDescent="0.2">
      <c r="A30" s="179"/>
      <c r="B30" s="180"/>
    </row>
    <row r="31" spans="1:2" ht="13.8" x14ac:dyDescent="0.2">
      <c r="A31" s="395" t="s">
        <v>277</v>
      </c>
      <c r="B31" s="395"/>
    </row>
    <row r="32" spans="1:2" ht="13.2" x14ac:dyDescent="0.2">
      <c r="A32" s="183">
        <v>1</v>
      </c>
      <c r="B32" s="77" t="s">
        <v>272</v>
      </c>
    </row>
    <row r="33" spans="1:3" ht="13.2" x14ac:dyDescent="0.2">
      <c r="A33" s="181">
        <v>2</v>
      </c>
      <c r="B33" s="8" t="s">
        <v>273</v>
      </c>
    </row>
    <row r="34" spans="1:3" ht="13.2" x14ac:dyDescent="0.2">
      <c r="A34" s="181">
        <v>3</v>
      </c>
      <c r="B34" s="8" t="s">
        <v>207</v>
      </c>
    </row>
    <row r="35" spans="1:3" ht="13.2" x14ac:dyDescent="0.2">
      <c r="A35" s="181">
        <v>4</v>
      </c>
      <c r="B35" s="8" t="s">
        <v>209</v>
      </c>
    </row>
    <row r="36" spans="1:3" ht="13.2" x14ac:dyDescent="0.2">
      <c r="A36" s="181">
        <v>5</v>
      </c>
      <c r="B36" s="9" t="s">
        <v>173</v>
      </c>
    </row>
    <row r="37" spans="1:3" ht="26.4" x14ac:dyDescent="0.2">
      <c r="A37" s="181">
        <v>6</v>
      </c>
      <c r="B37" s="8" t="s">
        <v>208</v>
      </c>
    </row>
    <row r="38" spans="1:3" ht="13.2" x14ac:dyDescent="0.2">
      <c r="A38" s="181">
        <v>7</v>
      </c>
      <c r="B38" s="8" t="s">
        <v>263</v>
      </c>
    </row>
    <row r="39" spans="1:3" ht="16.5" customHeight="1" x14ac:dyDescent="0.2">
      <c r="A39" s="184" t="s">
        <v>267</v>
      </c>
      <c r="B39" s="8" t="s">
        <v>291</v>
      </c>
    </row>
    <row r="40" spans="1:3" ht="13.2" x14ac:dyDescent="0.2">
      <c r="A40" s="181">
        <v>14</v>
      </c>
      <c r="B40" s="9" t="s">
        <v>174</v>
      </c>
    </row>
    <row r="42" spans="1:3" ht="13.8" x14ac:dyDescent="0.2">
      <c r="A42" s="177"/>
      <c r="B42" s="176" t="s">
        <v>278</v>
      </c>
    </row>
    <row r="43" spans="1:3" ht="30" customHeight="1" x14ac:dyDescent="0.2">
      <c r="A43" s="396" t="s">
        <v>261</v>
      </c>
      <c r="B43" s="397"/>
      <c r="C43" s="10"/>
    </row>
    <row r="44" spans="1:3" ht="13.2" x14ac:dyDescent="0.2">
      <c r="A44" s="181">
        <v>1</v>
      </c>
      <c r="B44" s="90" t="s">
        <v>274</v>
      </c>
      <c r="C44" s="10"/>
    </row>
    <row r="45" spans="1:3" ht="13.2" x14ac:dyDescent="0.2">
      <c r="A45" s="181">
        <v>2</v>
      </c>
      <c r="B45" s="8" t="s">
        <v>273</v>
      </c>
      <c r="C45" s="10"/>
    </row>
    <row r="46" spans="1:3" ht="12" x14ac:dyDescent="0.2">
      <c r="A46" s="181">
        <v>3</v>
      </c>
      <c r="B46" s="92" t="s">
        <v>292</v>
      </c>
    </row>
    <row r="47" spans="1:3" ht="12" x14ac:dyDescent="0.2">
      <c r="A47" s="181">
        <v>4</v>
      </c>
      <c r="B47" s="92" t="s">
        <v>262</v>
      </c>
    </row>
    <row r="48" spans="1:3" ht="23.4" x14ac:dyDescent="0.2">
      <c r="A48" s="182" t="s">
        <v>294</v>
      </c>
      <c r="B48" s="172" t="s">
        <v>293</v>
      </c>
    </row>
  </sheetData>
  <sheetProtection password="CC72" sheet="1" objects="1" scenarios="1" selectLockedCells="1"/>
  <mergeCells count="4">
    <mergeCell ref="A1:B1"/>
    <mergeCell ref="A20:B20"/>
    <mergeCell ref="A31:B31"/>
    <mergeCell ref="A43:B43"/>
  </mergeCells>
  <phoneticPr fontId="5" type="noConversion"/>
  <printOptions horizontalCentered="1" verticalCentered="1"/>
  <pageMargins left="0" right="0" top="0" bottom="0.5" header="0.19" footer="0.2"/>
  <pageSetup scale="91" orientation="portrait" r:id="rId1"/>
  <headerFooter alignWithMargins="0">
    <oddFooter>&amp;L&amp;A&amp;CDate Printed:  &amp;D                                                                 &amp;R&amp;P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sheetPr>
  <dimension ref="A1:V202"/>
  <sheetViews>
    <sheetView showGridLines="0" tabSelected="1" topLeftCell="A70" zoomScaleNormal="100" zoomScaleSheetLayoutView="75" workbookViewId="0">
      <selection activeCell="H86" sqref="H86"/>
    </sheetView>
  </sheetViews>
  <sheetFormatPr defaultColWidth="41" defaultRowHeight="15" x14ac:dyDescent="0.2"/>
  <cols>
    <col min="1" max="1" width="8.625" style="85" customWidth="1"/>
    <col min="2" max="2" width="54.375" style="14" customWidth="1"/>
    <col min="3" max="3" width="1" style="14" customWidth="1"/>
    <col min="4" max="4" width="12.875" style="18" customWidth="1"/>
    <col min="5" max="5" width="14" style="18" customWidth="1"/>
    <col min="6" max="6" width="14.25" style="60" customWidth="1"/>
    <col min="7" max="7" width="14.375" style="18" customWidth="1"/>
    <col min="8" max="13" width="14.125" style="11" customWidth="1"/>
    <col min="14" max="14" width="18.25" style="11" customWidth="1"/>
    <col min="15" max="15" width="15.25" style="11" customWidth="1"/>
    <col min="16" max="17" width="14.125" style="11" customWidth="1"/>
    <col min="18" max="18" width="17.25" style="11" customWidth="1"/>
    <col min="19" max="19" width="18.875" style="12" customWidth="1"/>
    <col min="20" max="20" width="15.75" style="13" customWidth="1"/>
    <col min="21" max="21" width="26.125" style="14" customWidth="1"/>
    <col min="22" max="16384" width="41" style="15"/>
  </cols>
  <sheetData>
    <row r="1" spans="1:22" ht="18" customHeight="1" x14ac:dyDescent="0.3">
      <c r="A1" s="401" t="s">
        <v>280</v>
      </c>
      <c r="B1" s="401"/>
      <c r="C1" s="154"/>
      <c r="D1" s="412"/>
      <c r="E1" s="412"/>
      <c r="F1" s="412"/>
      <c r="G1" s="412"/>
      <c r="H1" s="419" t="s">
        <v>177</v>
      </c>
      <c r="I1" s="420"/>
      <c r="J1" s="420"/>
      <c r="K1" s="420"/>
      <c r="L1" s="420"/>
      <c r="M1" s="420"/>
      <c r="N1" s="420"/>
      <c r="O1" s="420"/>
    </row>
    <row r="2" spans="1:22" ht="18" customHeight="1" x14ac:dyDescent="0.3">
      <c r="A2" s="155" t="str">
        <f>'Data Validation'!A11</f>
        <v>Multnomah County Aging, Disability &amp; Veterans Services Dept (MCADVSD)</v>
      </c>
      <c r="B2" s="171"/>
      <c r="C2" s="156"/>
      <c r="D2" s="156"/>
      <c r="E2" s="156"/>
      <c r="F2" s="156"/>
      <c r="H2" s="420"/>
      <c r="I2" s="420"/>
      <c r="J2" s="420"/>
      <c r="K2" s="420"/>
      <c r="L2" s="420"/>
      <c r="M2" s="420"/>
      <c r="N2" s="420"/>
      <c r="O2" s="420"/>
    </row>
    <row r="3" spans="1:22" ht="18" customHeight="1" x14ac:dyDescent="0.3">
      <c r="A3" s="165" t="s">
        <v>227</v>
      </c>
      <c r="B3" s="165" t="s">
        <v>227</v>
      </c>
      <c r="C3" s="166"/>
      <c r="D3" s="166"/>
      <c r="E3" s="157"/>
      <c r="F3" s="158"/>
      <c r="H3" s="15"/>
      <c r="I3" s="15"/>
      <c r="J3" s="15"/>
      <c r="K3" s="15"/>
      <c r="L3" s="15"/>
      <c r="M3" s="15"/>
      <c r="N3" s="15"/>
    </row>
    <row r="4" spans="1:22" ht="18" customHeight="1" x14ac:dyDescent="0.3">
      <c r="A4" s="159"/>
      <c r="B4" s="160"/>
      <c r="C4" s="161"/>
      <c r="D4" s="162"/>
      <c r="E4" s="16"/>
      <c r="F4" s="17"/>
      <c r="H4" s="408" t="s">
        <v>128</v>
      </c>
      <c r="I4" s="409"/>
      <c r="J4" s="409"/>
      <c r="K4" s="409"/>
      <c r="L4" s="409"/>
      <c r="M4" s="409"/>
      <c r="N4" s="285" t="s">
        <v>129</v>
      </c>
    </row>
    <row r="5" spans="1:22" ht="18" customHeight="1" thickBot="1" x14ac:dyDescent="0.3">
      <c r="A5" s="294" t="s">
        <v>122</v>
      </c>
      <c r="B5" s="295" t="s">
        <v>123</v>
      </c>
      <c r="C5" s="190"/>
      <c r="D5" s="191"/>
      <c r="E5" s="191"/>
      <c r="F5" s="191"/>
      <c r="G5" s="191"/>
      <c r="H5" s="410" t="s">
        <v>103</v>
      </c>
      <c r="I5" s="411"/>
      <c r="J5" s="411"/>
      <c r="K5" s="411"/>
      <c r="L5" s="411"/>
      <c r="M5" s="411"/>
      <c r="N5" s="411"/>
      <c r="O5" s="285" t="s">
        <v>141</v>
      </c>
      <c r="P5" s="285" t="s">
        <v>142</v>
      </c>
      <c r="Q5" s="286" t="s">
        <v>143</v>
      </c>
      <c r="R5" s="285" t="s">
        <v>144</v>
      </c>
      <c r="S5" s="287" t="s">
        <v>145</v>
      </c>
      <c r="T5" s="288" t="s">
        <v>146</v>
      </c>
      <c r="U5" s="288" t="s">
        <v>218</v>
      </c>
    </row>
    <row r="6" spans="1:22" ht="63.6" thickTop="1" thickBot="1" x14ac:dyDescent="0.35">
      <c r="A6" s="238" t="s">
        <v>178</v>
      </c>
      <c r="B6" s="239" t="s">
        <v>130</v>
      </c>
      <c r="C6" s="192"/>
      <c r="D6" s="267" t="s">
        <v>124</v>
      </c>
      <c r="E6" s="267" t="s">
        <v>125</v>
      </c>
      <c r="F6" s="267" t="s">
        <v>126</v>
      </c>
      <c r="G6" s="267" t="s">
        <v>127</v>
      </c>
      <c r="H6" s="281" t="s">
        <v>151</v>
      </c>
      <c r="I6" s="282" t="s">
        <v>152</v>
      </c>
      <c r="J6" s="282" t="s">
        <v>153</v>
      </c>
      <c r="K6" s="282" t="s">
        <v>154</v>
      </c>
      <c r="L6" s="282" t="s">
        <v>155</v>
      </c>
      <c r="M6" s="283" t="s">
        <v>150</v>
      </c>
      <c r="N6" s="284" t="s">
        <v>102</v>
      </c>
      <c r="O6" s="289" t="s">
        <v>105</v>
      </c>
      <c r="P6" s="290" t="s">
        <v>106</v>
      </c>
      <c r="Q6" s="291" t="s">
        <v>219</v>
      </c>
      <c r="R6" s="291" t="s">
        <v>131</v>
      </c>
      <c r="S6" s="291" t="s">
        <v>107</v>
      </c>
      <c r="T6" s="292" t="s">
        <v>175</v>
      </c>
      <c r="U6" s="293" t="s">
        <v>179</v>
      </c>
      <c r="V6" s="15" t="s">
        <v>298</v>
      </c>
    </row>
    <row r="7" spans="1:22" ht="18" customHeight="1" thickTop="1" thickBot="1" x14ac:dyDescent="0.35">
      <c r="A7" s="405" t="s">
        <v>97</v>
      </c>
      <c r="B7" s="405"/>
      <c r="C7" s="63"/>
      <c r="D7" s="268"/>
      <c r="E7" s="268"/>
      <c r="F7" s="269"/>
      <c r="G7" s="270"/>
      <c r="H7" s="211">
        <f t="shared" ref="H7:R7" si="0">SUM(H8:H10)</f>
        <v>188572</v>
      </c>
      <c r="I7" s="212">
        <f t="shared" si="0"/>
        <v>0</v>
      </c>
      <c r="J7" s="212">
        <f t="shared" si="0"/>
        <v>0</v>
      </c>
      <c r="K7" s="212">
        <f t="shared" si="0"/>
        <v>0</v>
      </c>
      <c r="L7" s="212">
        <f t="shared" si="0"/>
        <v>0</v>
      </c>
      <c r="M7" s="212">
        <f t="shared" si="0"/>
        <v>0</v>
      </c>
      <c r="N7" s="213">
        <f t="shared" si="0"/>
        <v>188572</v>
      </c>
      <c r="O7" s="212">
        <f t="shared" si="0"/>
        <v>0</v>
      </c>
      <c r="P7" s="212">
        <f t="shared" si="0"/>
        <v>104008</v>
      </c>
      <c r="Q7" s="212">
        <f t="shared" si="0"/>
        <v>0</v>
      </c>
      <c r="R7" s="212">
        <f t="shared" si="0"/>
        <v>1566383</v>
      </c>
      <c r="S7" s="214">
        <f>N7+O7+P7+R7+Q7</f>
        <v>1858963</v>
      </c>
      <c r="T7" s="193"/>
      <c r="U7" s="96"/>
    </row>
    <row r="8" spans="1:22" ht="23.1" customHeight="1" thickTop="1" x14ac:dyDescent="0.25">
      <c r="A8" s="240" t="s">
        <v>22</v>
      </c>
      <c r="B8" s="241" t="s">
        <v>23</v>
      </c>
      <c r="C8" s="194"/>
      <c r="D8" s="413" t="s">
        <v>264</v>
      </c>
      <c r="E8" s="413" t="s">
        <v>181</v>
      </c>
      <c r="F8" s="413" t="s">
        <v>182</v>
      </c>
      <c r="G8" s="416" t="s">
        <v>203</v>
      </c>
      <c r="H8" s="35">
        <f>30569+55650+462501+18657+62568-12664-55650-55650-138455-178954</f>
        <v>188572</v>
      </c>
      <c r="I8" s="19"/>
      <c r="J8" s="19"/>
      <c r="K8" s="19"/>
      <c r="L8" s="19"/>
      <c r="M8" s="19"/>
      <c r="N8" s="219">
        <f>SUM(H8:M8)</f>
        <v>188572</v>
      </c>
      <c r="O8" s="19"/>
      <c r="P8" s="21">
        <f>104008</f>
        <v>104008</v>
      </c>
      <c r="Q8" s="21"/>
      <c r="R8" s="387">
        <f>267112+231408+894869+46130+351008-37991-103308-37991-347381+44273+106168-32922-30722-450-1505</f>
        <v>1348698</v>
      </c>
      <c r="S8" s="229">
        <f>N8+O8+P8+R8+Q8</f>
        <v>1641278</v>
      </c>
      <c r="T8" s="195"/>
      <c r="U8" s="97"/>
    </row>
    <row r="9" spans="1:22" ht="23.1" customHeight="1" x14ac:dyDescent="0.25">
      <c r="A9" s="242" t="s">
        <v>24</v>
      </c>
      <c r="B9" s="243" t="s">
        <v>25</v>
      </c>
      <c r="C9" s="197"/>
      <c r="D9" s="414"/>
      <c r="E9" s="414"/>
      <c r="F9" s="414"/>
      <c r="G9" s="417"/>
      <c r="H9" s="23"/>
      <c r="I9" s="22"/>
      <c r="J9" s="22"/>
      <c r="K9" s="22"/>
      <c r="L9" s="22"/>
      <c r="M9" s="22"/>
      <c r="N9" s="220">
        <f>SUM(H9:M9)</f>
        <v>0</v>
      </c>
      <c r="O9" s="23"/>
      <c r="P9" s="22"/>
      <c r="Q9" s="22"/>
      <c r="R9" s="387">
        <f>178891</f>
        <v>178891</v>
      </c>
      <c r="S9" s="229">
        <f>N9+O9+P9+R9+Q9</f>
        <v>178891</v>
      </c>
      <c r="T9" s="195"/>
      <c r="U9" s="97"/>
    </row>
    <row r="10" spans="1:22" ht="23.1" customHeight="1" thickBot="1" x14ac:dyDescent="0.3">
      <c r="A10" s="244" t="s">
        <v>26</v>
      </c>
      <c r="B10" s="245" t="s">
        <v>27</v>
      </c>
      <c r="C10" s="198"/>
      <c r="D10" s="415"/>
      <c r="E10" s="415"/>
      <c r="F10" s="415"/>
      <c r="G10" s="418"/>
      <c r="H10" s="25"/>
      <c r="I10" s="24"/>
      <c r="J10" s="24"/>
      <c r="K10" s="24"/>
      <c r="L10" s="24"/>
      <c r="M10" s="24"/>
      <c r="N10" s="221">
        <f>SUM(H10:M10)</f>
        <v>0</v>
      </c>
      <c r="O10" s="25"/>
      <c r="P10" s="24"/>
      <c r="Q10" s="24"/>
      <c r="R10" s="389">
        <f>378860+3000+1850-344916</f>
        <v>38794</v>
      </c>
      <c r="S10" s="229">
        <f>N10+O10+P10+R10+Q10</f>
        <v>38794</v>
      </c>
      <c r="T10" s="199"/>
      <c r="U10" s="98"/>
    </row>
    <row r="11" spans="1:22" ht="23.1" customHeight="1" thickTop="1" thickBot="1" x14ac:dyDescent="0.35">
      <c r="A11" s="403" t="s">
        <v>296</v>
      </c>
      <c r="B11" s="403"/>
      <c r="C11" s="64"/>
      <c r="D11" s="26"/>
      <c r="E11" s="26"/>
      <c r="F11" s="271"/>
      <c r="G11" s="27"/>
      <c r="H11" s="211">
        <f>SUM(H12:H23)</f>
        <v>497546</v>
      </c>
      <c r="I11" s="212">
        <f t="shared" ref="I11:R11" si="1">SUM(I12:I23)</f>
        <v>0</v>
      </c>
      <c r="J11" s="212">
        <f t="shared" si="1"/>
        <v>0</v>
      </c>
      <c r="K11" s="212">
        <f t="shared" si="1"/>
        <v>0</v>
      </c>
      <c r="L11" s="212">
        <f t="shared" si="1"/>
        <v>0</v>
      </c>
      <c r="M11" s="212">
        <f t="shared" si="1"/>
        <v>0</v>
      </c>
      <c r="N11" s="213">
        <f t="shared" si="1"/>
        <v>497546</v>
      </c>
      <c r="O11" s="212">
        <f t="shared" si="1"/>
        <v>0</v>
      </c>
      <c r="P11" s="212">
        <f t="shared" si="1"/>
        <v>217941</v>
      </c>
      <c r="Q11" s="212">
        <f t="shared" si="1"/>
        <v>518386</v>
      </c>
      <c r="R11" s="362">
        <f t="shared" si="1"/>
        <v>1479855</v>
      </c>
      <c r="S11" s="214">
        <f>N11+O11+P11+R11+Q11</f>
        <v>2713728</v>
      </c>
      <c r="T11" s="200"/>
      <c r="U11" s="99"/>
    </row>
    <row r="12" spans="1:22" ht="23.1" customHeight="1" thickTop="1" x14ac:dyDescent="0.3">
      <c r="A12" s="246">
        <v>6</v>
      </c>
      <c r="B12" s="247" t="s">
        <v>7</v>
      </c>
      <c r="C12" s="41"/>
      <c r="D12" s="375" t="s">
        <v>233</v>
      </c>
      <c r="E12" s="376">
        <v>19143</v>
      </c>
      <c r="F12" s="272" t="s">
        <v>108</v>
      </c>
      <c r="G12" s="377">
        <v>1430</v>
      </c>
      <c r="H12" s="29">
        <f>136761+55650+55650+138455</f>
        <v>386516</v>
      </c>
      <c r="I12" s="30"/>
      <c r="J12" s="30"/>
      <c r="K12" s="30"/>
      <c r="L12" s="30"/>
      <c r="M12" s="30"/>
      <c r="N12" s="222">
        <f t="shared" ref="N12:N23" si="2">SUM(H12:M12)</f>
        <v>386516</v>
      </c>
      <c r="O12" s="23"/>
      <c r="P12" s="22">
        <f>166400+5000+46541</f>
        <v>217941</v>
      </c>
      <c r="Q12" s="22">
        <f>150672</f>
        <v>150672</v>
      </c>
      <c r="R12" s="387">
        <f>238123+114000+338466+37460+1338-94675</f>
        <v>634712</v>
      </c>
      <c r="S12" s="229">
        <f t="shared" ref="S12:S44" si="3">N12+O12+P12+R12+Q12</f>
        <v>1389841</v>
      </c>
      <c r="T12" s="231">
        <f>S12/E12</f>
        <v>72.603092514234973</v>
      </c>
      <c r="U12" s="97"/>
    </row>
    <row r="13" spans="1:22" ht="23.1" customHeight="1" x14ac:dyDescent="0.25">
      <c r="A13" s="248">
        <v>9</v>
      </c>
      <c r="B13" s="249" t="s">
        <v>10</v>
      </c>
      <c r="C13" s="201"/>
      <c r="D13" s="378"/>
      <c r="E13" s="379"/>
      <c r="F13" s="273" t="s">
        <v>109</v>
      </c>
      <c r="G13" s="377"/>
      <c r="H13" s="23"/>
      <c r="I13" s="22"/>
      <c r="J13" s="22"/>
      <c r="K13" s="22"/>
      <c r="L13" s="22"/>
      <c r="M13" s="22"/>
      <c r="N13" s="223">
        <f t="shared" si="2"/>
        <v>0</v>
      </c>
      <c r="O13" s="23"/>
      <c r="P13" s="22"/>
      <c r="Q13" s="22"/>
      <c r="R13" s="387"/>
      <c r="S13" s="229">
        <f t="shared" si="3"/>
        <v>0</v>
      </c>
      <c r="T13" s="231" t="e">
        <f t="shared" ref="T13:T23" si="4">S13/E13</f>
        <v>#DIV/0!</v>
      </c>
      <c r="U13" s="97"/>
    </row>
    <row r="14" spans="1:22" ht="23.1" customHeight="1" x14ac:dyDescent="0.25">
      <c r="A14" s="248">
        <v>10</v>
      </c>
      <c r="B14" s="243" t="s">
        <v>11</v>
      </c>
      <c r="C14" s="196"/>
      <c r="D14" s="381" t="s">
        <v>233</v>
      </c>
      <c r="E14" s="381">
        <v>9294</v>
      </c>
      <c r="F14" s="273" t="s">
        <v>109</v>
      </c>
      <c r="G14" s="377">
        <v>1090</v>
      </c>
      <c r="H14" s="23">
        <f>5600</f>
        <v>5600</v>
      </c>
      <c r="I14" s="22"/>
      <c r="J14" s="22"/>
      <c r="K14" s="22"/>
      <c r="L14" s="22"/>
      <c r="M14" s="22"/>
      <c r="N14" s="223">
        <f t="shared" si="2"/>
        <v>5600</v>
      </c>
      <c r="O14" s="23"/>
      <c r="P14" s="22"/>
      <c r="Q14" s="22"/>
      <c r="R14" s="387">
        <f>62400+106142</f>
        <v>168542</v>
      </c>
      <c r="S14" s="229">
        <f t="shared" si="3"/>
        <v>174142</v>
      </c>
      <c r="T14" s="231">
        <f t="shared" si="4"/>
        <v>18.737034646008176</v>
      </c>
      <c r="U14" s="97"/>
    </row>
    <row r="15" spans="1:22" ht="23.1" customHeight="1" x14ac:dyDescent="0.25">
      <c r="A15" s="248">
        <v>13</v>
      </c>
      <c r="B15" s="243" t="s">
        <v>14</v>
      </c>
      <c r="C15" s="196"/>
      <c r="D15" s="381" t="s">
        <v>344</v>
      </c>
      <c r="E15" s="381">
        <v>47469</v>
      </c>
      <c r="F15" s="273" t="s">
        <v>110</v>
      </c>
      <c r="G15" s="377">
        <v>17224</v>
      </c>
      <c r="H15" s="23">
        <f>23590+12664</f>
        <v>36254</v>
      </c>
      <c r="I15" s="22"/>
      <c r="J15" s="22"/>
      <c r="K15" s="22"/>
      <c r="L15" s="22"/>
      <c r="M15" s="22"/>
      <c r="N15" s="223">
        <f t="shared" si="2"/>
        <v>36254</v>
      </c>
      <c r="O15" s="23"/>
      <c r="P15" s="22"/>
      <c r="Q15" s="22">
        <v>141700</v>
      </c>
      <c r="R15" s="387">
        <f>12632+80920+184114+37991-27767</f>
        <v>287890</v>
      </c>
      <c r="S15" s="229">
        <f t="shared" si="3"/>
        <v>465844</v>
      </c>
      <c r="T15" s="231">
        <f t="shared" si="4"/>
        <v>9.8136468010701723</v>
      </c>
      <c r="U15" s="97"/>
    </row>
    <row r="16" spans="1:22" ht="23.1" customHeight="1" x14ac:dyDescent="0.25">
      <c r="A16" s="248">
        <v>14</v>
      </c>
      <c r="B16" s="243" t="s">
        <v>15</v>
      </c>
      <c r="C16" s="196"/>
      <c r="D16" s="381" t="s">
        <v>344</v>
      </c>
      <c r="E16" s="381">
        <v>2215</v>
      </c>
      <c r="F16" s="273" t="s">
        <v>110</v>
      </c>
      <c r="G16" s="377">
        <v>1991</v>
      </c>
      <c r="H16" s="23">
        <f>10984</f>
        <v>10984</v>
      </c>
      <c r="I16" s="22"/>
      <c r="J16" s="22"/>
      <c r="K16" s="22"/>
      <c r="L16" s="22"/>
      <c r="M16" s="22"/>
      <c r="N16" s="223">
        <f t="shared" si="2"/>
        <v>10984</v>
      </c>
      <c r="O16" s="23"/>
      <c r="P16" s="22"/>
      <c r="Q16" s="22"/>
      <c r="R16" s="387">
        <f>8546</f>
        <v>8546</v>
      </c>
      <c r="S16" s="229">
        <f t="shared" si="3"/>
        <v>19530</v>
      </c>
      <c r="T16" s="231">
        <f t="shared" si="4"/>
        <v>8.8171557562076757</v>
      </c>
      <c r="U16" s="100"/>
    </row>
    <row r="17" spans="1:21" ht="23.1" customHeight="1" x14ac:dyDescent="0.25">
      <c r="A17" s="242" t="s">
        <v>45</v>
      </c>
      <c r="B17" s="243" t="s">
        <v>46</v>
      </c>
      <c r="C17" s="196"/>
      <c r="D17" s="381"/>
      <c r="E17" s="381"/>
      <c r="F17" s="273" t="s">
        <v>230</v>
      </c>
      <c r="G17" s="377"/>
      <c r="H17" s="23"/>
      <c r="I17" s="22"/>
      <c r="J17" s="22"/>
      <c r="K17" s="22"/>
      <c r="L17" s="22"/>
      <c r="M17" s="22"/>
      <c r="N17" s="223">
        <f t="shared" si="2"/>
        <v>0</v>
      </c>
      <c r="O17" s="23"/>
      <c r="P17" s="22"/>
      <c r="Q17" s="22"/>
      <c r="R17" s="387"/>
      <c r="S17" s="229">
        <f t="shared" si="3"/>
        <v>0</v>
      </c>
      <c r="T17" s="231" t="e">
        <f t="shared" si="4"/>
        <v>#DIV/0!</v>
      </c>
      <c r="U17" s="97"/>
    </row>
    <row r="18" spans="1:21" ht="23.1" customHeight="1" x14ac:dyDescent="0.25">
      <c r="A18" s="242" t="s">
        <v>47</v>
      </c>
      <c r="B18" s="249" t="s">
        <v>48</v>
      </c>
      <c r="C18" s="201"/>
      <c r="D18" s="381"/>
      <c r="E18" s="381">
        <v>494</v>
      </c>
      <c r="F18" s="273" t="s">
        <v>108</v>
      </c>
      <c r="G18" s="377">
        <v>208</v>
      </c>
      <c r="H18" s="23"/>
      <c r="I18" s="22"/>
      <c r="J18" s="22"/>
      <c r="K18" s="22"/>
      <c r="L18" s="22"/>
      <c r="M18" s="22"/>
      <c r="N18" s="223">
        <f t="shared" si="2"/>
        <v>0</v>
      </c>
      <c r="O18" s="23"/>
      <c r="P18" s="22"/>
      <c r="Q18" s="22">
        <v>226014</v>
      </c>
      <c r="R18" s="387"/>
      <c r="S18" s="229">
        <f t="shared" si="3"/>
        <v>226014</v>
      </c>
      <c r="T18" s="231">
        <f t="shared" si="4"/>
        <v>457.5182186234818</v>
      </c>
      <c r="U18" s="97"/>
    </row>
    <row r="19" spans="1:21" ht="23.1" customHeight="1" x14ac:dyDescent="0.25">
      <c r="A19" s="242" t="s">
        <v>66</v>
      </c>
      <c r="B19" s="250" t="s">
        <v>67</v>
      </c>
      <c r="C19" s="202"/>
      <c r="D19" s="381" t="s">
        <v>233</v>
      </c>
      <c r="E19" s="381">
        <v>3045</v>
      </c>
      <c r="F19" s="273" t="s">
        <v>108</v>
      </c>
      <c r="G19" s="377">
        <v>4925</v>
      </c>
      <c r="H19" s="23">
        <f>5000</f>
        <v>5000</v>
      </c>
      <c r="I19" s="22"/>
      <c r="J19" s="22"/>
      <c r="K19" s="22"/>
      <c r="L19" s="22"/>
      <c r="M19" s="22"/>
      <c r="N19" s="223">
        <f t="shared" si="2"/>
        <v>5000</v>
      </c>
      <c r="O19" s="23"/>
      <c r="P19" s="22"/>
      <c r="Q19" s="22"/>
      <c r="R19" s="387">
        <f>10000</f>
        <v>10000</v>
      </c>
      <c r="S19" s="229">
        <f t="shared" si="3"/>
        <v>15000</v>
      </c>
      <c r="T19" s="231">
        <f t="shared" si="4"/>
        <v>4.9261083743842367</v>
      </c>
      <c r="U19" s="97"/>
    </row>
    <row r="20" spans="1:21" ht="23.1" customHeight="1" x14ac:dyDescent="0.25">
      <c r="A20" s="242" t="s">
        <v>68</v>
      </c>
      <c r="B20" s="251" t="s">
        <v>69</v>
      </c>
      <c r="C20" s="202"/>
      <c r="D20" s="381" t="s">
        <v>233</v>
      </c>
      <c r="E20" s="381">
        <v>5048</v>
      </c>
      <c r="F20" s="273" t="s">
        <v>108</v>
      </c>
      <c r="G20" s="377">
        <v>1374</v>
      </c>
      <c r="H20" s="23">
        <f>53192</f>
        <v>53192</v>
      </c>
      <c r="I20" s="22"/>
      <c r="J20" s="22"/>
      <c r="K20" s="22"/>
      <c r="L20" s="22"/>
      <c r="M20" s="22"/>
      <c r="N20" s="223">
        <f t="shared" si="2"/>
        <v>53192</v>
      </c>
      <c r="O20" s="23"/>
      <c r="P20" s="22"/>
      <c r="Q20" s="22"/>
      <c r="R20" s="387">
        <f>370165</f>
        <v>370165</v>
      </c>
      <c r="S20" s="229">
        <f t="shared" si="3"/>
        <v>423357</v>
      </c>
      <c r="T20" s="231">
        <f t="shared" si="4"/>
        <v>83.866283676703645</v>
      </c>
      <c r="U20" s="97"/>
    </row>
    <row r="21" spans="1:21" ht="23.1" customHeight="1" x14ac:dyDescent="0.25">
      <c r="A21" s="240" t="s">
        <v>74</v>
      </c>
      <c r="B21" s="252" t="s">
        <v>75</v>
      </c>
      <c r="C21" s="203"/>
      <c r="D21" s="378"/>
      <c r="E21" s="379"/>
      <c r="F21" s="273" t="s">
        <v>115</v>
      </c>
      <c r="G21" s="377"/>
      <c r="H21" s="20"/>
      <c r="I21" s="21"/>
      <c r="J21" s="21"/>
      <c r="K21" s="22"/>
      <c r="L21" s="21"/>
      <c r="M21" s="21"/>
      <c r="N21" s="223">
        <f t="shared" si="2"/>
        <v>0</v>
      </c>
      <c r="O21" s="20"/>
      <c r="P21" s="21"/>
      <c r="Q21" s="21"/>
      <c r="R21" s="387"/>
      <c r="S21" s="229">
        <f t="shared" si="3"/>
        <v>0</v>
      </c>
      <c r="T21" s="231" t="e">
        <f t="shared" si="4"/>
        <v>#DIV/0!</v>
      </c>
      <c r="U21" s="97"/>
    </row>
    <row r="22" spans="1:21" ht="23.1" customHeight="1" x14ac:dyDescent="0.25">
      <c r="A22" s="240" t="s">
        <v>76</v>
      </c>
      <c r="B22" s="251" t="s">
        <v>77</v>
      </c>
      <c r="C22" s="202"/>
      <c r="D22" s="378"/>
      <c r="E22" s="379"/>
      <c r="F22" s="273" t="s">
        <v>108</v>
      </c>
      <c r="G22" s="377"/>
      <c r="H22" s="20"/>
      <c r="I22" s="21"/>
      <c r="J22" s="21"/>
      <c r="K22" s="21"/>
      <c r="L22" s="21"/>
      <c r="M22" s="21"/>
      <c r="N22" s="223">
        <f t="shared" si="2"/>
        <v>0</v>
      </c>
      <c r="O22" s="20"/>
      <c r="P22" s="21"/>
      <c r="Q22" s="21"/>
      <c r="R22" s="387"/>
      <c r="S22" s="229">
        <f t="shared" si="3"/>
        <v>0</v>
      </c>
      <c r="T22" s="231" t="e">
        <f t="shared" si="4"/>
        <v>#DIV/0!</v>
      </c>
      <c r="U22" s="97"/>
    </row>
    <row r="23" spans="1:21" ht="23.1" customHeight="1" thickBot="1" x14ac:dyDescent="0.3">
      <c r="A23" s="253" t="s">
        <v>82</v>
      </c>
      <c r="B23" s="254" t="s">
        <v>83</v>
      </c>
      <c r="C23" s="204"/>
      <c r="D23" s="382" t="s">
        <v>345</v>
      </c>
      <c r="E23" s="386">
        <v>103</v>
      </c>
      <c r="F23" s="274" t="s">
        <v>115</v>
      </c>
      <c r="G23" s="380">
        <v>89437</v>
      </c>
      <c r="H23" s="25"/>
      <c r="I23" s="24"/>
      <c r="J23" s="24"/>
      <c r="K23" s="24"/>
      <c r="L23" s="24"/>
      <c r="M23" s="24"/>
      <c r="N23" s="224">
        <f t="shared" si="2"/>
        <v>0</v>
      </c>
      <c r="O23" s="25"/>
      <c r="P23" s="24"/>
      <c r="Q23" s="24"/>
      <c r="R23" s="389"/>
      <c r="S23" s="229">
        <f t="shared" si="3"/>
        <v>0</v>
      </c>
      <c r="T23" s="232">
        <f t="shared" si="4"/>
        <v>0</v>
      </c>
      <c r="U23" s="98"/>
    </row>
    <row r="24" spans="1:21" ht="23.1" customHeight="1" thickTop="1" thickBot="1" x14ac:dyDescent="0.35">
      <c r="A24" s="402" t="s">
        <v>98</v>
      </c>
      <c r="B24" s="402"/>
      <c r="C24" s="65"/>
      <c r="D24" s="26"/>
      <c r="E24" s="123"/>
      <c r="F24" s="275"/>
      <c r="G24" s="31"/>
      <c r="H24" s="215">
        <f t="shared" ref="H24:R24" si="5">SUM(H25:H37)</f>
        <v>30449</v>
      </c>
      <c r="I24" s="216">
        <f t="shared" si="5"/>
        <v>0</v>
      </c>
      <c r="J24" s="216">
        <f t="shared" si="5"/>
        <v>0</v>
      </c>
      <c r="K24" s="216">
        <f t="shared" si="5"/>
        <v>0</v>
      </c>
      <c r="L24" s="216">
        <f t="shared" si="5"/>
        <v>0</v>
      </c>
      <c r="M24" s="216">
        <f t="shared" si="5"/>
        <v>0</v>
      </c>
      <c r="N24" s="217">
        <f t="shared" si="5"/>
        <v>30449</v>
      </c>
      <c r="O24" s="216">
        <f t="shared" si="5"/>
        <v>0</v>
      </c>
      <c r="P24" s="216">
        <f t="shared" si="5"/>
        <v>1225283</v>
      </c>
      <c r="Q24" s="216">
        <f t="shared" si="5"/>
        <v>124037</v>
      </c>
      <c r="R24" s="363">
        <f t="shared" si="5"/>
        <v>140193</v>
      </c>
      <c r="S24" s="214">
        <f>N24+O24+P24+R24+Q24</f>
        <v>1519962</v>
      </c>
      <c r="T24" s="233"/>
      <c r="U24" s="101"/>
    </row>
    <row r="25" spans="1:21" ht="23.1" customHeight="1" thickTop="1" x14ac:dyDescent="0.25">
      <c r="A25" s="255">
        <v>1</v>
      </c>
      <c r="B25" s="243" t="s">
        <v>0</v>
      </c>
      <c r="C25" s="197"/>
      <c r="D25" s="375" t="s">
        <v>233</v>
      </c>
      <c r="E25" s="376">
        <v>7195</v>
      </c>
      <c r="F25" s="273" t="s">
        <v>108</v>
      </c>
      <c r="G25" s="28">
        <v>152</v>
      </c>
      <c r="H25" s="29">
        <f>16560</f>
        <v>16560</v>
      </c>
      <c r="I25" s="30"/>
      <c r="J25" s="30"/>
      <c r="K25" s="30"/>
      <c r="L25" s="30"/>
      <c r="M25" s="30"/>
      <c r="N25" s="222">
        <f t="shared" ref="N25:N37" si="6">SUM(H25:M25)</f>
        <v>16560</v>
      </c>
      <c r="O25" s="23"/>
      <c r="P25" s="22">
        <v>120044</v>
      </c>
      <c r="Q25" s="22"/>
      <c r="R25" s="387"/>
      <c r="S25" s="229">
        <f t="shared" si="3"/>
        <v>136604</v>
      </c>
      <c r="T25" s="231">
        <f t="shared" ref="T25:T37" si="7">S25/E25</f>
        <v>18.985962473940237</v>
      </c>
      <c r="U25" s="97"/>
    </row>
    <row r="26" spans="1:21" ht="23.1" customHeight="1" x14ac:dyDescent="0.25">
      <c r="A26" s="242" t="s">
        <v>183</v>
      </c>
      <c r="B26" s="243" t="s">
        <v>1</v>
      </c>
      <c r="C26" s="196"/>
      <c r="D26" s="375" t="s">
        <v>233</v>
      </c>
      <c r="E26" s="376">
        <v>16627</v>
      </c>
      <c r="F26" s="273" t="s">
        <v>108</v>
      </c>
      <c r="G26" s="28">
        <v>165</v>
      </c>
      <c r="H26" s="23"/>
      <c r="I26" s="22"/>
      <c r="J26" s="22"/>
      <c r="K26" s="22"/>
      <c r="L26" s="22"/>
      <c r="M26" s="22"/>
      <c r="N26" s="223">
        <f t="shared" si="6"/>
        <v>0</v>
      </c>
      <c r="O26" s="23"/>
      <c r="P26" s="22">
        <v>228241</v>
      </c>
      <c r="Q26" s="22"/>
      <c r="R26" s="387"/>
      <c r="S26" s="229">
        <f t="shared" si="3"/>
        <v>228241</v>
      </c>
      <c r="T26" s="231">
        <f t="shared" si="7"/>
        <v>13.727130570758405</v>
      </c>
      <c r="U26" s="97"/>
    </row>
    <row r="27" spans="1:21" ht="23.1" customHeight="1" x14ac:dyDescent="0.25">
      <c r="A27" s="248">
        <v>2</v>
      </c>
      <c r="B27" s="249" t="s">
        <v>2</v>
      </c>
      <c r="C27" s="201"/>
      <c r="D27" s="375" t="s">
        <v>233</v>
      </c>
      <c r="E27" s="376">
        <v>15329</v>
      </c>
      <c r="F27" s="273" t="s">
        <v>108</v>
      </c>
      <c r="G27" s="28">
        <v>169</v>
      </c>
      <c r="H27" s="23"/>
      <c r="I27" s="22"/>
      <c r="J27" s="22"/>
      <c r="K27" s="22"/>
      <c r="L27" s="22"/>
      <c r="M27" s="22"/>
      <c r="N27" s="223">
        <f t="shared" si="6"/>
        <v>0</v>
      </c>
      <c r="O27" s="23"/>
      <c r="P27" s="22">
        <f>120044</f>
        <v>120044</v>
      </c>
      <c r="Q27" s="22"/>
      <c r="R27" s="387">
        <f>38018+34470</f>
        <v>72488</v>
      </c>
      <c r="S27" s="229">
        <f t="shared" si="3"/>
        <v>192532</v>
      </c>
      <c r="T27" s="231">
        <f t="shared" si="7"/>
        <v>12.559984343401396</v>
      </c>
      <c r="U27" s="97"/>
    </row>
    <row r="28" spans="1:21" ht="23.1" customHeight="1" x14ac:dyDescent="0.25">
      <c r="A28" s="256" t="s">
        <v>184</v>
      </c>
      <c r="B28" s="249" t="s">
        <v>3</v>
      </c>
      <c r="C28" s="201"/>
      <c r="D28" s="375" t="s">
        <v>233</v>
      </c>
      <c r="E28" s="376">
        <v>49883</v>
      </c>
      <c r="F28" s="273" t="s">
        <v>108</v>
      </c>
      <c r="G28" s="28">
        <v>495</v>
      </c>
      <c r="H28" s="23"/>
      <c r="I28" s="22"/>
      <c r="J28" s="22"/>
      <c r="K28" s="22"/>
      <c r="L28" s="22"/>
      <c r="M28" s="22"/>
      <c r="N28" s="223">
        <f t="shared" si="6"/>
        <v>0</v>
      </c>
      <c r="O28" s="23"/>
      <c r="P28" s="22">
        <v>684721</v>
      </c>
      <c r="Q28" s="22">
        <v>124037</v>
      </c>
      <c r="R28" s="387"/>
      <c r="S28" s="229">
        <f t="shared" si="3"/>
        <v>808758</v>
      </c>
      <c r="T28" s="231">
        <f t="shared" si="7"/>
        <v>16.213098650842973</v>
      </c>
      <c r="U28" s="97"/>
    </row>
    <row r="29" spans="1:21" ht="23.1" customHeight="1" x14ac:dyDescent="0.25">
      <c r="A29" s="248">
        <v>3</v>
      </c>
      <c r="B29" s="243" t="s">
        <v>4</v>
      </c>
      <c r="C29" s="196"/>
      <c r="D29" s="375" t="s">
        <v>233</v>
      </c>
      <c r="E29" s="376">
        <v>677</v>
      </c>
      <c r="F29" s="273" t="s">
        <v>108</v>
      </c>
      <c r="G29" s="28">
        <v>31</v>
      </c>
      <c r="H29" s="23"/>
      <c r="I29" s="22"/>
      <c r="J29" s="22"/>
      <c r="K29" s="22"/>
      <c r="L29" s="22"/>
      <c r="M29" s="22"/>
      <c r="N29" s="223">
        <f t="shared" si="6"/>
        <v>0</v>
      </c>
      <c r="O29" s="23"/>
      <c r="P29" s="22">
        <v>40000</v>
      </c>
      <c r="Q29" s="22"/>
      <c r="R29" s="387"/>
      <c r="S29" s="229">
        <f t="shared" si="3"/>
        <v>40000</v>
      </c>
      <c r="T29" s="231">
        <f t="shared" si="7"/>
        <v>59.084194977843424</v>
      </c>
      <c r="U29" s="97"/>
    </row>
    <row r="30" spans="1:21" ht="23.1" customHeight="1" x14ac:dyDescent="0.25">
      <c r="A30" s="242" t="s">
        <v>185</v>
      </c>
      <c r="B30" s="243" t="s">
        <v>5</v>
      </c>
      <c r="C30" s="196"/>
      <c r="D30" s="375"/>
      <c r="E30" s="376"/>
      <c r="F30" s="273" t="s">
        <v>108</v>
      </c>
      <c r="G30" s="28"/>
      <c r="H30" s="23"/>
      <c r="I30" s="22"/>
      <c r="J30" s="22"/>
      <c r="K30" s="22"/>
      <c r="L30" s="22"/>
      <c r="M30" s="22"/>
      <c r="N30" s="223">
        <f t="shared" si="6"/>
        <v>0</v>
      </c>
      <c r="O30" s="23"/>
      <c r="P30" s="22"/>
      <c r="Q30" s="22"/>
      <c r="R30" s="387"/>
      <c r="S30" s="229">
        <f t="shared" si="3"/>
        <v>0</v>
      </c>
      <c r="T30" s="231" t="e">
        <f t="shared" si="7"/>
        <v>#DIV/0!</v>
      </c>
      <c r="U30" s="97"/>
    </row>
    <row r="31" spans="1:21" ht="23.1" customHeight="1" x14ac:dyDescent="0.25">
      <c r="A31" s="248">
        <v>5</v>
      </c>
      <c r="B31" s="243" t="s">
        <v>6</v>
      </c>
      <c r="C31" s="196"/>
      <c r="D31" s="375" t="s">
        <v>233</v>
      </c>
      <c r="E31" s="376">
        <v>31</v>
      </c>
      <c r="F31" s="273" t="s">
        <v>108</v>
      </c>
      <c r="G31" s="28">
        <v>2</v>
      </c>
      <c r="H31" s="23">
        <v>2527</v>
      </c>
      <c r="I31" s="22"/>
      <c r="J31" s="22"/>
      <c r="K31" s="22"/>
      <c r="L31" s="22"/>
      <c r="M31" s="22"/>
      <c r="N31" s="223">
        <f t="shared" si="6"/>
        <v>2527</v>
      </c>
      <c r="O31" s="23"/>
      <c r="P31" s="22">
        <f>6233</f>
        <v>6233</v>
      </c>
      <c r="Q31" s="22"/>
      <c r="R31" s="387">
        <f>1918</f>
        <v>1918</v>
      </c>
      <c r="S31" s="229">
        <f t="shared" si="3"/>
        <v>10678</v>
      </c>
      <c r="T31" s="231">
        <f t="shared" si="7"/>
        <v>344.45161290322579</v>
      </c>
      <c r="U31" s="97"/>
    </row>
    <row r="32" spans="1:21" ht="23.1" customHeight="1" x14ac:dyDescent="0.25">
      <c r="A32" s="242" t="s">
        <v>28</v>
      </c>
      <c r="B32" s="249" t="s">
        <v>29</v>
      </c>
      <c r="C32" s="201"/>
      <c r="D32" s="375"/>
      <c r="E32" s="376"/>
      <c r="F32" s="273" t="s">
        <v>112</v>
      </c>
      <c r="G32" s="28"/>
      <c r="H32" s="23"/>
      <c r="I32" s="22"/>
      <c r="J32" s="22"/>
      <c r="K32" s="22"/>
      <c r="L32" s="22"/>
      <c r="M32" s="22"/>
      <c r="N32" s="223">
        <f t="shared" si="6"/>
        <v>0</v>
      </c>
      <c r="O32" s="23"/>
      <c r="P32" s="22"/>
      <c r="Q32" s="22"/>
      <c r="R32" s="387"/>
      <c r="S32" s="229">
        <f t="shared" si="3"/>
        <v>0</v>
      </c>
      <c r="T32" s="231" t="e">
        <f t="shared" si="7"/>
        <v>#DIV/0!</v>
      </c>
      <c r="U32" s="97"/>
    </row>
    <row r="33" spans="1:21" ht="23.1" customHeight="1" x14ac:dyDescent="0.25">
      <c r="A33" s="242" t="s">
        <v>30</v>
      </c>
      <c r="B33" s="249" t="s">
        <v>31</v>
      </c>
      <c r="C33" s="201"/>
      <c r="D33" s="375"/>
      <c r="E33" s="376"/>
      <c r="F33" s="273" t="s">
        <v>108</v>
      </c>
      <c r="G33" s="28"/>
      <c r="H33" s="23"/>
      <c r="I33" s="22"/>
      <c r="J33" s="22"/>
      <c r="K33" s="22"/>
      <c r="L33" s="22"/>
      <c r="M33" s="22"/>
      <c r="N33" s="223">
        <f t="shared" si="6"/>
        <v>0</v>
      </c>
      <c r="O33" s="23"/>
      <c r="P33" s="22"/>
      <c r="Q33" s="22"/>
      <c r="R33" s="387"/>
      <c r="S33" s="229">
        <f t="shared" si="3"/>
        <v>0</v>
      </c>
      <c r="T33" s="231" t="e">
        <f t="shared" si="7"/>
        <v>#DIV/0!</v>
      </c>
      <c r="U33" s="97"/>
    </row>
    <row r="34" spans="1:21" ht="23.1" customHeight="1" x14ac:dyDescent="0.25">
      <c r="A34" s="242" t="s">
        <v>49</v>
      </c>
      <c r="B34" s="249" t="s">
        <v>220</v>
      </c>
      <c r="C34" s="201"/>
      <c r="D34" s="375"/>
      <c r="E34" s="376">
        <v>32</v>
      </c>
      <c r="F34" s="273" t="s">
        <v>231</v>
      </c>
      <c r="G34" s="28">
        <v>23</v>
      </c>
      <c r="H34" s="23"/>
      <c r="I34" s="22"/>
      <c r="J34" s="22"/>
      <c r="K34" s="22"/>
      <c r="L34" s="22"/>
      <c r="M34" s="22"/>
      <c r="N34" s="223">
        <f t="shared" si="6"/>
        <v>0</v>
      </c>
      <c r="O34" s="23"/>
      <c r="P34" s="22">
        <f>20000+6000</f>
        <v>26000</v>
      </c>
      <c r="Q34" s="22"/>
      <c r="R34" s="387"/>
      <c r="S34" s="229">
        <f t="shared" si="3"/>
        <v>26000</v>
      </c>
      <c r="T34" s="231">
        <f t="shared" si="7"/>
        <v>812.5</v>
      </c>
      <c r="U34" s="97"/>
    </row>
    <row r="35" spans="1:21" ht="23.1" customHeight="1" x14ac:dyDescent="0.25">
      <c r="A35" s="242" t="s">
        <v>50</v>
      </c>
      <c r="B35" s="243" t="s">
        <v>51</v>
      </c>
      <c r="C35" s="196"/>
      <c r="D35" s="375"/>
      <c r="E35" s="376"/>
      <c r="F35" s="273" t="s">
        <v>108</v>
      </c>
      <c r="G35" s="28"/>
      <c r="H35" s="23"/>
      <c r="I35" s="22"/>
      <c r="J35" s="22"/>
      <c r="K35" s="22"/>
      <c r="L35" s="22"/>
      <c r="M35" s="22"/>
      <c r="N35" s="223">
        <f t="shared" si="6"/>
        <v>0</v>
      </c>
      <c r="O35" s="23"/>
      <c r="P35" s="22"/>
      <c r="Q35" s="22"/>
      <c r="R35" s="387"/>
      <c r="S35" s="229">
        <f t="shared" si="3"/>
        <v>0</v>
      </c>
      <c r="T35" s="231" t="e">
        <f t="shared" si="7"/>
        <v>#DIV/0!</v>
      </c>
      <c r="U35" s="97"/>
    </row>
    <row r="36" spans="1:21" ht="23.1" customHeight="1" x14ac:dyDescent="0.25">
      <c r="A36" s="242" t="s">
        <v>62</v>
      </c>
      <c r="B36" s="251" t="s">
        <v>63</v>
      </c>
      <c r="C36" s="202"/>
      <c r="D36" s="375" t="s">
        <v>233</v>
      </c>
      <c r="E36" s="376">
        <v>196</v>
      </c>
      <c r="F36" s="273" t="s">
        <v>110</v>
      </c>
      <c r="G36" s="28">
        <v>196</v>
      </c>
      <c r="H36" s="23"/>
      <c r="I36" s="22"/>
      <c r="J36" s="22"/>
      <c r="K36" s="22"/>
      <c r="L36" s="22"/>
      <c r="M36" s="22"/>
      <c r="N36" s="223">
        <f t="shared" si="6"/>
        <v>0</v>
      </c>
      <c r="O36" s="23"/>
      <c r="P36" s="22"/>
      <c r="Q36" s="22"/>
      <c r="R36" s="387">
        <f>6720</f>
        <v>6720</v>
      </c>
      <c r="S36" s="229">
        <f t="shared" si="3"/>
        <v>6720</v>
      </c>
      <c r="T36" s="231">
        <f t="shared" si="7"/>
        <v>34.285714285714285</v>
      </c>
      <c r="U36" s="97"/>
    </row>
    <row r="37" spans="1:21" ht="23.1" customHeight="1" thickBot="1" x14ac:dyDescent="0.3">
      <c r="A37" s="244" t="s">
        <v>94</v>
      </c>
      <c r="B37" s="257" t="s">
        <v>95</v>
      </c>
      <c r="C37" s="205"/>
      <c r="D37" s="384" t="s">
        <v>344</v>
      </c>
      <c r="E37" s="386">
        <v>2585</v>
      </c>
      <c r="F37" s="274" t="s">
        <v>108</v>
      </c>
      <c r="G37" s="32">
        <v>483</v>
      </c>
      <c r="H37" s="25">
        <v>11362</v>
      </c>
      <c r="I37" s="24"/>
      <c r="J37" s="24"/>
      <c r="K37" s="24"/>
      <c r="L37" s="24"/>
      <c r="M37" s="24"/>
      <c r="N37" s="224">
        <f t="shared" si="6"/>
        <v>11362</v>
      </c>
      <c r="O37" s="25"/>
      <c r="P37" s="24"/>
      <c r="Q37" s="24"/>
      <c r="R37" s="389">
        <f>47991+11076</f>
        <v>59067</v>
      </c>
      <c r="S37" s="229">
        <f t="shared" si="3"/>
        <v>70429</v>
      </c>
      <c r="T37" s="232">
        <f t="shared" si="7"/>
        <v>27.245261121856867</v>
      </c>
      <c r="U37" s="98"/>
    </row>
    <row r="38" spans="1:21" ht="23.1" customHeight="1" thickTop="1" thickBot="1" x14ac:dyDescent="0.35">
      <c r="A38" s="403" t="s">
        <v>100</v>
      </c>
      <c r="B38" s="403"/>
      <c r="C38" s="64"/>
      <c r="D38" s="26"/>
      <c r="E38" s="123"/>
      <c r="F38" s="275"/>
      <c r="G38" s="31"/>
      <c r="H38" s="211">
        <f t="shared" ref="H38:R38" si="8">SUM(H39)</f>
        <v>31801</v>
      </c>
      <c r="I38" s="212">
        <f t="shared" si="8"/>
        <v>0</v>
      </c>
      <c r="J38" s="212">
        <f t="shared" si="8"/>
        <v>0</v>
      </c>
      <c r="K38" s="212">
        <f t="shared" si="8"/>
        <v>0</v>
      </c>
      <c r="L38" s="212">
        <f t="shared" si="8"/>
        <v>0</v>
      </c>
      <c r="M38" s="212">
        <f t="shared" si="8"/>
        <v>0</v>
      </c>
      <c r="N38" s="213">
        <f t="shared" si="8"/>
        <v>31801</v>
      </c>
      <c r="O38" s="212">
        <f t="shared" si="8"/>
        <v>0</v>
      </c>
      <c r="P38" s="212">
        <f t="shared" si="8"/>
        <v>0</v>
      </c>
      <c r="Q38" s="212">
        <f t="shared" si="8"/>
        <v>0</v>
      </c>
      <c r="R38" s="212">
        <f t="shared" si="8"/>
        <v>24616</v>
      </c>
      <c r="S38" s="214">
        <f>N38+O38+P38+R38+Q38</f>
        <v>56417</v>
      </c>
      <c r="T38" s="234"/>
      <c r="U38" s="99"/>
    </row>
    <row r="39" spans="1:21" ht="23.1" customHeight="1" thickTop="1" thickBot="1" x14ac:dyDescent="0.3">
      <c r="A39" s="258">
        <v>11</v>
      </c>
      <c r="B39" s="257" t="s">
        <v>12</v>
      </c>
      <c r="C39" s="206"/>
      <c r="D39" s="279" t="s">
        <v>233</v>
      </c>
      <c r="E39" s="383">
        <v>1355</v>
      </c>
      <c r="F39" s="274" t="s">
        <v>108</v>
      </c>
      <c r="G39" s="32">
        <v>882</v>
      </c>
      <c r="H39" s="33">
        <f>31801</f>
        <v>31801</v>
      </c>
      <c r="I39" s="34"/>
      <c r="J39" s="34"/>
      <c r="K39" s="34"/>
      <c r="L39" s="34"/>
      <c r="M39" s="34"/>
      <c r="N39" s="225">
        <f>SUM(H39:M39)</f>
        <v>31801</v>
      </c>
      <c r="O39" s="25"/>
      <c r="P39" s="24"/>
      <c r="Q39" s="24"/>
      <c r="R39" s="389">
        <f>24616</f>
        <v>24616</v>
      </c>
      <c r="S39" s="229">
        <f t="shared" si="3"/>
        <v>56417</v>
      </c>
      <c r="T39" s="232">
        <f>S39/E39</f>
        <v>41.636162361623619</v>
      </c>
      <c r="U39" s="98"/>
    </row>
    <row r="40" spans="1:21" ht="23.1" customHeight="1" thickTop="1" thickBot="1" x14ac:dyDescent="0.35">
      <c r="A40" s="403" t="s">
        <v>101</v>
      </c>
      <c r="B40" s="403"/>
      <c r="C40" s="64"/>
      <c r="D40" s="26"/>
      <c r="E40" s="123"/>
      <c r="F40" s="275"/>
      <c r="G40" s="31"/>
      <c r="H40" s="211">
        <f t="shared" ref="H40:R40" si="9">SUM(H41:H44)</f>
        <v>0</v>
      </c>
      <c r="I40" s="212">
        <f t="shared" si="9"/>
        <v>386251</v>
      </c>
      <c r="J40" s="212">
        <f t="shared" si="9"/>
        <v>627142</v>
      </c>
      <c r="K40" s="212">
        <f t="shared" si="9"/>
        <v>0</v>
      </c>
      <c r="L40" s="212">
        <f t="shared" si="9"/>
        <v>0</v>
      </c>
      <c r="M40" s="212">
        <f t="shared" si="9"/>
        <v>0</v>
      </c>
      <c r="N40" s="213">
        <f t="shared" si="9"/>
        <v>1013393</v>
      </c>
      <c r="O40" s="212">
        <f t="shared" si="9"/>
        <v>473737</v>
      </c>
      <c r="P40" s="212">
        <f t="shared" si="9"/>
        <v>0</v>
      </c>
      <c r="Q40" s="212">
        <f t="shared" si="9"/>
        <v>0</v>
      </c>
      <c r="R40" s="212">
        <f t="shared" si="9"/>
        <v>461716</v>
      </c>
      <c r="S40" s="214">
        <f>N40+O40+P40+R40+Q40</f>
        <v>1948846</v>
      </c>
      <c r="T40" s="234"/>
      <c r="U40" s="99"/>
    </row>
    <row r="41" spans="1:21" ht="23.1" customHeight="1" thickTop="1" x14ac:dyDescent="0.25">
      <c r="A41" s="246">
        <v>4</v>
      </c>
      <c r="B41" s="243" t="s">
        <v>114</v>
      </c>
      <c r="C41" s="197"/>
      <c r="D41" s="125" t="s">
        <v>233</v>
      </c>
      <c r="E41" s="374">
        <v>377012</v>
      </c>
      <c r="F41" s="273" t="s">
        <v>113</v>
      </c>
      <c r="G41" s="28">
        <v>2838</v>
      </c>
      <c r="H41" s="29"/>
      <c r="I41" s="30"/>
      <c r="J41" s="30">
        <v>627142</v>
      </c>
      <c r="K41" s="30"/>
      <c r="L41" s="30"/>
      <c r="M41" s="30"/>
      <c r="N41" s="222">
        <f>SUM(H41:M41)</f>
        <v>627142</v>
      </c>
      <c r="O41" s="23">
        <f>199016</f>
        <v>199016</v>
      </c>
      <c r="P41" s="22"/>
      <c r="Q41" s="22"/>
      <c r="R41" s="387">
        <f>92617</f>
        <v>92617</v>
      </c>
      <c r="S41" s="229">
        <f t="shared" si="3"/>
        <v>918775</v>
      </c>
      <c r="T41" s="231">
        <f>S41/E41</f>
        <v>2.4369913954993474</v>
      </c>
      <c r="U41" s="97"/>
    </row>
    <row r="42" spans="1:21" ht="23.1" customHeight="1" x14ac:dyDescent="0.25">
      <c r="A42" s="248">
        <v>7</v>
      </c>
      <c r="B42" s="243" t="s">
        <v>8</v>
      </c>
      <c r="C42" s="196"/>
      <c r="D42" s="125" t="s">
        <v>233</v>
      </c>
      <c r="E42" s="374">
        <v>185699</v>
      </c>
      <c r="F42" s="273" t="s">
        <v>113</v>
      </c>
      <c r="G42" s="28">
        <v>4621</v>
      </c>
      <c r="H42" s="23"/>
      <c r="I42" s="22">
        <f>386251</f>
        <v>386251</v>
      </c>
      <c r="J42" s="22"/>
      <c r="K42" s="22"/>
      <c r="L42" s="22"/>
      <c r="M42" s="22"/>
      <c r="N42" s="223">
        <f>SUM(H42:M42)</f>
        <v>386251</v>
      </c>
      <c r="O42" s="23">
        <f>274721</f>
        <v>274721</v>
      </c>
      <c r="P42" s="22"/>
      <c r="Q42" s="22"/>
      <c r="R42" s="387">
        <f>369099</f>
        <v>369099</v>
      </c>
      <c r="S42" s="229">
        <f t="shared" si="3"/>
        <v>1030071</v>
      </c>
      <c r="T42" s="231">
        <f>S42/E42</f>
        <v>5.5469927140156923</v>
      </c>
      <c r="U42" s="97"/>
    </row>
    <row r="43" spans="1:21" ht="23.1" customHeight="1" x14ac:dyDescent="0.25">
      <c r="A43" s="248">
        <v>8</v>
      </c>
      <c r="B43" s="243" t="s">
        <v>9</v>
      </c>
      <c r="C43" s="196"/>
      <c r="D43" s="125"/>
      <c r="E43" s="374"/>
      <c r="F43" s="273" t="s">
        <v>230</v>
      </c>
      <c r="G43" s="28"/>
      <c r="H43" s="23"/>
      <c r="I43" s="22"/>
      <c r="J43" s="22"/>
      <c r="K43" s="22"/>
      <c r="L43" s="22"/>
      <c r="M43" s="22"/>
      <c r="N43" s="223">
        <f>SUM(H43:M43)</f>
        <v>0</v>
      </c>
      <c r="O43" s="23"/>
      <c r="P43" s="22"/>
      <c r="Q43" s="22"/>
      <c r="R43" s="387"/>
      <c r="S43" s="229">
        <f t="shared" si="3"/>
        <v>0</v>
      </c>
      <c r="T43" s="231" t="e">
        <f>S43/E43</f>
        <v>#DIV/0!</v>
      </c>
      <c r="U43" s="97"/>
    </row>
    <row r="44" spans="1:21" ht="23.1" customHeight="1" thickBot="1" x14ac:dyDescent="0.3">
      <c r="A44" s="259">
        <v>12</v>
      </c>
      <c r="B44" s="257" t="s">
        <v>13</v>
      </c>
      <c r="C44" s="205"/>
      <c r="D44" s="126"/>
      <c r="E44" s="383">
        <v>3486</v>
      </c>
      <c r="F44" s="274" t="s">
        <v>230</v>
      </c>
      <c r="G44" s="32"/>
      <c r="H44" s="25"/>
      <c r="I44" s="24"/>
      <c r="J44" s="24"/>
      <c r="K44" s="24"/>
      <c r="L44" s="24"/>
      <c r="M44" s="24"/>
      <c r="N44" s="224">
        <f>SUM(H44:M44)</f>
        <v>0</v>
      </c>
      <c r="O44" s="25"/>
      <c r="P44" s="24"/>
      <c r="Q44" s="24"/>
      <c r="R44" s="389"/>
      <c r="S44" s="229">
        <f t="shared" si="3"/>
        <v>0</v>
      </c>
      <c r="T44" s="232">
        <f>S44/E44</f>
        <v>0</v>
      </c>
      <c r="U44" s="98" t="s">
        <v>346</v>
      </c>
    </row>
    <row r="45" spans="1:21" ht="73.5" customHeight="1" thickTop="1" thickBot="1" x14ac:dyDescent="0.3">
      <c r="A45" s="260"/>
      <c r="B45" s="261"/>
      <c r="C45" s="42"/>
      <c r="D45" s="276" t="s">
        <v>201</v>
      </c>
      <c r="E45" s="276" t="s">
        <v>181</v>
      </c>
      <c r="F45" s="276" t="s">
        <v>202</v>
      </c>
      <c r="G45" s="280" t="s">
        <v>203</v>
      </c>
      <c r="H45" s="33"/>
      <c r="I45" s="78"/>
      <c r="J45" s="78"/>
      <c r="K45" s="78"/>
      <c r="L45" s="78"/>
      <c r="M45" s="78"/>
      <c r="N45" s="226"/>
      <c r="O45" s="79"/>
      <c r="P45" s="78"/>
      <c r="Q45" s="78"/>
      <c r="R45" s="78"/>
      <c r="S45" s="230"/>
      <c r="T45" s="235"/>
      <c r="U45" s="102"/>
    </row>
    <row r="46" spans="1:21" ht="41.25" customHeight="1" thickTop="1" thickBot="1" x14ac:dyDescent="0.35">
      <c r="A46" s="406" t="s">
        <v>99</v>
      </c>
      <c r="B46" s="407"/>
      <c r="C46" s="189"/>
      <c r="D46" s="86"/>
      <c r="E46" s="87"/>
      <c r="F46" s="277"/>
      <c r="G46" s="88"/>
      <c r="H46" s="211">
        <f t="shared" ref="H46:R46" si="10">SUM(H47:H62)</f>
        <v>0</v>
      </c>
      <c r="I46" s="212">
        <f t="shared" si="10"/>
        <v>0</v>
      </c>
      <c r="J46" s="212">
        <f t="shared" si="10"/>
        <v>0</v>
      </c>
      <c r="K46" s="212">
        <f t="shared" si="10"/>
        <v>0</v>
      </c>
      <c r="L46" s="212">
        <f t="shared" si="10"/>
        <v>273554</v>
      </c>
      <c r="M46" s="212">
        <f t="shared" si="10"/>
        <v>0</v>
      </c>
      <c r="N46" s="213">
        <f t="shared" si="10"/>
        <v>273554</v>
      </c>
      <c r="O46" s="212">
        <f t="shared" si="10"/>
        <v>0</v>
      </c>
      <c r="P46" s="212">
        <f t="shared" si="10"/>
        <v>0</v>
      </c>
      <c r="Q46" s="212">
        <f t="shared" si="10"/>
        <v>0</v>
      </c>
      <c r="R46" s="212">
        <f t="shared" si="10"/>
        <v>269053.84000000003</v>
      </c>
      <c r="S46" s="214">
        <f>N46+O46+P46+R46+Q46</f>
        <v>542607.84000000008</v>
      </c>
      <c r="T46" s="234"/>
      <c r="U46" s="99"/>
    </row>
    <row r="47" spans="1:21" ht="23.1" customHeight="1" thickTop="1" x14ac:dyDescent="0.25">
      <c r="A47" s="246">
        <v>15</v>
      </c>
      <c r="B47" s="243" t="s">
        <v>16</v>
      </c>
      <c r="C47" s="197"/>
      <c r="D47" s="375" t="s">
        <v>345</v>
      </c>
      <c r="E47" s="376">
        <v>356</v>
      </c>
      <c r="F47" s="273" t="s">
        <v>115</v>
      </c>
      <c r="G47" s="377">
        <v>6922</v>
      </c>
      <c r="H47" s="35"/>
      <c r="I47" s="19"/>
      <c r="J47" s="19"/>
      <c r="K47" s="19"/>
      <c r="L47" s="19">
        <f>2000</f>
        <v>2000</v>
      </c>
      <c r="M47" s="19"/>
      <c r="N47" s="219">
        <f t="shared" ref="N47:N62" si="11">SUM(H47:M47)</f>
        <v>2000</v>
      </c>
      <c r="O47" s="20"/>
      <c r="P47" s="21"/>
      <c r="Q47" s="21"/>
      <c r="R47" s="387">
        <f>32922+27767</f>
        <v>60689</v>
      </c>
      <c r="S47" s="229">
        <f t="shared" ref="S47:S81" si="12">N47+O47+P47+R47+Q47</f>
        <v>62689</v>
      </c>
      <c r="T47" s="231">
        <f t="shared" ref="T47:T62" si="13">S47/E47</f>
        <v>176.09269662921349</v>
      </c>
      <c r="U47" s="97"/>
    </row>
    <row r="48" spans="1:21" ht="23.1" customHeight="1" x14ac:dyDescent="0.25">
      <c r="A48" s="242" t="s">
        <v>17</v>
      </c>
      <c r="B48" s="243" t="s">
        <v>18</v>
      </c>
      <c r="C48" s="196"/>
      <c r="D48" s="375"/>
      <c r="E48" s="376"/>
      <c r="F48" s="273" t="s">
        <v>115</v>
      </c>
      <c r="G48" s="377"/>
      <c r="H48" s="20"/>
      <c r="I48" s="21"/>
      <c r="J48" s="21"/>
      <c r="K48" s="21"/>
      <c r="L48" s="21"/>
      <c r="M48" s="21"/>
      <c r="N48" s="220">
        <f t="shared" si="11"/>
        <v>0</v>
      </c>
      <c r="O48" s="20"/>
      <c r="P48" s="21"/>
      <c r="Q48" s="21"/>
      <c r="R48" s="387"/>
      <c r="S48" s="229">
        <f t="shared" si="12"/>
        <v>0</v>
      </c>
      <c r="T48" s="231" t="e">
        <f t="shared" si="13"/>
        <v>#DIV/0!</v>
      </c>
      <c r="U48" s="97"/>
    </row>
    <row r="49" spans="1:21" ht="23.1" customHeight="1" x14ac:dyDescent="0.25">
      <c r="A49" s="248">
        <v>16</v>
      </c>
      <c r="B49" s="249" t="s">
        <v>19</v>
      </c>
      <c r="C49" s="201"/>
      <c r="D49" s="375" t="s">
        <v>344</v>
      </c>
      <c r="E49" s="376">
        <v>9228</v>
      </c>
      <c r="F49" s="273" t="s">
        <v>110</v>
      </c>
      <c r="G49" s="377">
        <v>1251</v>
      </c>
      <c r="H49" s="20"/>
      <c r="I49" s="21"/>
      <c r="J49" s="21"/>
      <c r="K49" s="21"/>
      <c r="L49" s="21">
        <f>88104+126427</f>
        <v>214531</v>
      </c>
      <c r="M49" s="21"/>
      <c r="N49" s="220">
        <f t="shared" si="11"/>
        <v>214531</v>
      </c>
      <c r="O49" s="20"/>
      <c r="P49" s="21"/>
      <c r="Q49" s="21"/>
      <c r="R49" s="387">
        <f>57493+30722+94675</f>
        <v>182890</v>
      </c>
      <c r="S49" s="229">
        <f t="shared" si="12"/>
        <v>397421</v>
      </c>
      <c r="T49" s="231">
        <f t="shared" si="13"/>
        <v>43.066861725184225</v>
      </c>
      <c r="U49" s="97"/>
    </row>
    <row r="50" spans="1:21" ht="23.1" customHeight="1" x14ac:dyDescent="0.25">
      <c r="A50" s="242" t="s">
        <v>20</v>
      </c>
      <c r="B50" s="262" t="s">
        <v>21</v>
      </c>
      <c r="C50" s="207"/>
      <c r="D50" s="375"/>
      <c r="E50" s="376"/>
      <c r="F50" s="273" t="s">
        <v>110</v>
      </c>
      <c r="G50" s="377"/>
      <c r="H50" s="20"/>
      <c r="I50" s="21"/>
      <c r="J50" s="21"/>
      <c r="K50" s="21"/>
      <c r="L50" s="21"/>
      <c r="M50" s="21"/>
      <c r="N50" s="220">
        <f t="shared" si="11"/>
        <v>0</v>
      </c>
      <c r="O50" s="20"/>
      <c r="P50" s="21"/>
      <c r="Q50" s="21"/>
      <c r="R50" s="387"/>
      <c r="S50" s="229">
        <f t="shared" si="12"/>
        <v>0</v>
      </c>
      <c r="T50" s="231" t="e">
        <f t="shared" si="13"/>
        <v>#DIV/0!</v>
      </c>
      <c r="U50" s="97"/>
    </row>
    <row r="51" spans="1:21" ht="23.1" customHeight="1" x14ac:dyDescent="0.25">
      <c r="A51" s="242" t="s">
        <v>32</v>
      </c>
      <c r="B51" s="243" t="s">
        <v>33</v>
      </c>
      <c r="C51" s="196"/>
      <c r="D51" s="375"/>
      <c r="E51" s="376"/>
      <c r="F51" s="273" t="s">
        <v>108</v>
      </c>
      <c r="G51" s="377"/>
      <c r="H51" s="20"/>
      <c r="I51" s="21"/>
      <c r="J51" s="21"/>
      <c r="K51" s="21"/>
      <c r="L51" s="21"/>
      <c r="M51" s="21"/>
      <c r="N51" s="220">
        <f t="shared" si="11"/>
        <v>0</v>
      </c>
      <c r="O51" s="20"/>
      <c r="P51" s="21"/>
      <c r="Q51" s="21"/>
      <c r="R51" s="387"/>
      <c r="S51" s="229">
        <f t="shared" si="12"/>
        <v>0</v>
      </c>
      <c r="T51" s="231" t="e">
        <f t="shared" si="13"/>
        <v>#DIV/0!</v>
      </c>
      <c r="U51" s="97"/>
    </row>
    <row r="52" spans="1:21" ht="23.1" customHeight="1" x14ac:dyDescent="0.25">
      <c r="A52" s="242" t="s">
        <v>34</v>
      </c>
      <c r="B52" s="243" t="s">
        <v>35</v>
      </c>
      <c r="C52" s="196"/>
      <c r="D52" s="375"/>
      <c r="E52" s="376"/>
      <c r="F52" s="273" t="s">
        <v>108</v>
      </c>
      <c r="G52" s="377"/>
      <c r="H52" s="20"/>
      <c r="I52" s="21"/>
      <c r="J52" s="21"/>
      <c r="K52" s="21"/>
      <c r="L52" s="21"/>
      <c r="M52" s="21"/>
      <c r="N52" s="220">
        <f t="shared" si="11"/>
        <v>0</v>
      </c>
      <c r="O52" s="20"/>
      <c r="P52" s="21"/>
      <c r="Q52" s="21"/>
      <c r="R52" s="387"/>
      <c r="S52" s="229">
        <f t="shared" si="12"/>
        <v>0</v>
      </c>
      <c r="T52" s="231" t="e">
        <f t="shared" si="13"/>
        <v>#DIV/0!</v>
      </c>
      <c r="U52" s="97"/>
    </row>
    <row r="53" spans="1:21" ht="23.1" customHeight="1" x14ac:dyDescent="0.25">
      <c r="A53" s="242" t="s">
        <v>36</v>
      </c>
      <c r="B53" s="243" t="s">
        <v>37</v>
      </c>
      <c r="C53" s="196"/>
      <c r="D53" s="375"/>
      <c r="E53" s="376"/>
      <c r="F53" s="273" t="s">
        <v>230</v>
      </c>
      <c r="G53" s="377"/>
      <c r="H53" s="20"/>
      <c r="I53" s="21"/>
      <c r="J53" s="21"/>
      <c r="K53" s="21"/>
      <c r="L53" s="21"/>
      <c r="M53" s="21"/>
      <c r="N53" s="220">
        <f t="shared" si="11"/>
        <v>0</v>
      </c>
      <c r="O53" s="20"/>
      <c r="P53" s="21"/>
      <c r="Q53" s="21"/>
      <c r="R53" s="387"/>
      <c r="S53" s="229">
        <f t="shared" si="12"/>
        <v>0</v>
      </c>
      <c r="T53" s="231" t="e">
        <f t="shared" si="13"/>
        <v>#DIV/0!</v>
      </c>
      <c r="U53" s="97"/>
    </row>
    <row r="54" spans="1:21" ht="23.1" customHeight="1" x14ac:dyDescent="0.25">
      <c r="A54" s="242" t="s">
        <v>38</v>
      </c>
      <c r="B54" s="243" t="s">
        <v>119</v>
      </c>
      <c r="C54" s="196"/>
      <c r="D54" s="375"/>
      <c r="E54" s="376"/>
      <c r="F54" s="273" t="s">
        <v>230</v>
      </c>
      <c r="G54" s="377"/>
      <c r="H54" s="20"/>
      <c r="I54" s="21"/>
      <c r="J54" s="21"/>
      <c r="K54" s="21"/>
      <c r="L54" s="21"/>
      <c r="M54" s="21"/>
      <c r="N54" s="220">
        <f t="shared" si="11"/>
        <v>0</v>
      </c>
      <c r="O54" s="20"/>
      <c r="P54" s="21"/>
      <c r="Q54" s="21"/>
      <c r="R54" s="387"/>
      <c r="S54" s="229">
        <f t="shared" si="12"/>
        <v>0</v>
      </c>
      <c r="T54" s="231" t="e">
        <f t="shared" si="13"/>
        <v>#DIV/0!</v>
      </c>
      <c r="U54" s="97"/>
    </row>
    <row r="55" spans="1:21" ht="23.1" customHeight="1" x14ac:dyDescent="0.25">
      <c r="A55" s="256" t="s">
        <v>39</v>
      </c>
      <c r="B55" s="243" t="s">
        <v>40</v>
      </c>
      <c r="C55" s="196"/>
      <c r="D55" s="375"/>
      <c r="E55" s="376"/>
      <c r="F55" s="273" t="s">
        <v>112</v>
      </c>
      <c r="G55" s="377"/>
      <c r="H55" s="23"/>
      <c r="I55" s="22"/>
      <c r="J55" s="22"/>
      <c r="K55" s="22"/>
      <c r="L55" s="22"/>
      <c r="M55" s="22"/>
      <c r="N55" s="220">
        <f t="shared" si="11"/>
        <v>0</v>
      </c>
      <c r="O55" s="23"/>
      <c r="P55" s="22"/>
      <c r="Q55" s="22"/>
      <c r="R55" s="387"/>
      <c r="S55" s="229">
        <f t="shared" si="12"/>
        <v>0</v>
      </c>
      <c r="T55" s="231" t="e">
        <f t="shared" si="13"/>
        <v>#DIV/0!</v>
      </c>
      <c r="U55" s="97"/>
    </row>
    <row r="56" spans="1:21" ht="23.1" customHeight="1" x14ac:dyDescent="0.25">
      <c r="A56" s="242" t="s">
        <v>41</v>
      </c>
      <c r="B56" s="243" t="s">
        <v>42</v>
      </c>
      <c r="C56" s="196"/>
      <c r="D56" s="375"/>
      <c r="E56" s="376"/>
      <c r="F56" s="273" t="s">
        <v>112</v>
      </c>
      <c r="G56" s="377"/>
      <c r="H56" s="23"/>
      <c r="I56" s="22"/>
      <c r="J56" s="22"/>
      <c r="K56" s="22"/>
      <c r="L56" s="22"/>
      <c r="M56" s="22"/>
      <c r="N56" s="220">
        <f t="shared" si="11"/>
        <v>0</v>
      </c>
      <c r="O56" s="23"/>
      <c r="P56" s="22"/>
      <c r="Q56" s="22"/>
      <c r="R56" s="22"/>
      <c r="S56" s="229">
        <f t="shared" si="12"/>
        <v>0</v>
      </c>
      <c r="T56" s="231" t="e">
        <f t="shared" si="13"/>
        <v>#DIV/0!</v>
      </c>
      <c r="U56" s="97"/>
    </row>
    <row r="57" spans="1:21" ht="23.1" customHeight="1" x14ac:dyDescent="0.25">
      <c r="A57" s="242" t="s">
        <v>70</v>
      </c>
      <c r="B57" s="251" t="s">
        <v>71</v>
      </c>
      <c r="C57" s="202"/>
      <c r="D57" s="375"/>
      <c r="E57" s="376"/>
      <c r="F57" s="273" t="s">
        <v>230</v>
      </c>
      <c r="G57" s="377"/>
      <c r="H57" s="23"/>
      <c r="I57" s="22"/>
      <c r="J57" s="22"/>
      <c r="K57" s="22"/>
      <c r="L57" s="22"/>
      <c r="M57" s="22"/>
      <c r="N57" s="220">
        <f t="shared" si="11"/>
        <v>0</v>
      </c>
      <c r="O57" s="23"/>
      <c r="P57" s="22"/>
      <c r="Q57" s="22"/>
      <c r="R57" s="22"/>
      <c r="S57" s="229">
        <f t="shared" si="12"/>
        <v>0</v>
      </c>
      <c r="T57" s="231" t="e">
        <f t="shared" si="13"/>
        <v>#DIV/0!</v>
      </c>
      <c r="U57" s="97"/>
    </row>
    <row r="58" spans="1:21" ht="23.1" customHeight="1" x14ac:dyDescent="0.25">
      <c r="A58" s="242" t="s">
        <v>72</v>
      </c>
      <c r="B58" s="251" t="s">
        <v>73</v>
      </c>
      <c r="C58" s="202"/>
      <c r="D58" s="375"/>
      <c r="E58" s="376"/>
      <c r="F58" s="273" t="s">
        <v>230</v>
      </c>
      <c r="G58" s="377"/>
      <c r="H58" s="23"/>
      <c r="I58" s="22"/>
      <c r="J58" s="22"/>
      <c r="K58" s="22"/>
      <c r="L58" s="22"/>
      <c r="M58" s="22"/>
      <c r="N58" s="220">
        <f t="shared" si="11"/>
        <v>0</v>
      </c>
      <c r="O58" s="23"/>
      <c r="P58" s="22"/>
      <c r="Q58" s="22"/>
      <c r="R58" s="22"/>
      <c r="S58" s="229">
        <f t="shared" si="12"/>
        <v>0</v>
      </c>
      <c r="T58" s="231" t="e">
        <f t="shared" si="13"/>
        <v>#DIV/0!</v>
      </c>
      <c r="U58" s="97"/>
    </row>
    <row r="59" spans="1:21" ht="23.1" customHeight="1" x14ac:dyDescent="0.25">
      <c r="A59" s="242" t="s">
        <v>78</v>
      </c>
      <c r="B59" s="251" t="s">
        <v>79</v>
      </c>
      <c r="C59" s="202"/>
      <c r="D59" s="375" t="s">
        <v>344</v>
      </c>
      <c r="E59" s="376">
        <v>270</v>
      </c>
      <c r="F59" s="273" t="s">
        <v>230</v>
      </c>
      <c r="G59" s="377">
        <v>160</v>
      </c>
      <c r="H59" s="23"/>
      <c r="I59" s="22"/>
      <c r="J59" s="22"/>
      <c r="K59" s="22"/>
      <c r="L59" s="22"/>
      <c r="M59" s="22"/>
      <c r="N59" s="220">
        <f t="shared" si="11"/>
        <v>0</v>
      </c>
      <c r="O59" s="23"/>
      <c r="P59" s="22"/>
      <c r="Q59" s="22"/>
      <c r="R59" s="22">
        <f>450+1505</f>
        <v>1955</v>
      </c>
      <c r="S59" s="229">
        <f t="shared" si="12"/>
        <v>1955</v>
      </c>
      <c r="T59" s="231">
        <f t="shared" si="13"/>
        <v>7.2407407407407405</v>
      </c>
      <c r="U59" s="97"/>
    </row>
    <row r="60" spans="1:21" ht="23.1" customHeight="1" x14ac:dyDescent="0.25">
      <c r="A60" s="242" t="s">
        <v>80</v>
      </c>
      <c r="B60" s="251" t="s">
        <v>81</v>
      </c>
      <c r="C60" s="202"/>
      <c r="D60" s="375" t="s">
        <v>345</v>
      </c>
      <c r="E60" s="376">
        <v>60</v>
      </c>
      <c r="F60" s="273" t="s">
        <v>230</v>
      </c>
      <c r="G60" s="377">
        <v>60</v>
      </c>
      <c r="H60" s="23"/>
      <c r="I60" s="22"/>
      <c r="J60" s="22"/>
      <c r="K60" s="22"/>
      <c r="L60" s="22"/>
      <c r="M60" s="22"/>
      <c r="N60" s="220">
        <f t="shared" si="11"/>
        <v>0</v>
      </c>
      <c r="O60" s="23"/>
      <c r="P60" s="22"/>
      <c r="Q60" s="22"/>
      <c r="R60" s="22"/>
      <c r="S60" s="229">
        <f t="shared" si="12"/>
        <v>0</v>
      </c>
      <c r="T60" s="231">
        <f t="shared" si="13"/>
        <v>0</v>
      </c>
      <c r="U60" s="97"/>
    </row>
    <row r="61" spans="1:21" ht="23.1" customHeight="1" x14ac:dyDescent="0.25">
      <c r="A61" s="263">
        <v>73</v>
      </c>
      <c r="B61" s="251" t="s">
        <v>222</v>
      </c>
      <c r="C61" s="202"/>
      <c r="D61" s="375" t="s">
        <v>344</v>
      </c>
      <c r="E61" s="376">
        <v>2527</v>
      </c>
      <c r="F61" s="273" t="s">
        <v>111</v>
      </c>
      <c r="G61" s="377">
        <v>175</v>
      </c>
      <c r="H61" s="20"/>
      <c r="I61" s="21"/>
      <c r="J61" s="21"/>
      <c r="K61" s="21"/>
      <c r="L61" s="21">
        <f>200+44026</f>
        <v>44226</v>
      </c>
      <c r="M61" s="21"/>
      <c r="N61" s="220">
        <f t="shared" si="11"/>
        <v>44226</v>
      </c>
      <c r="O61" s="20"/>
      <c r="P61" s="21"/>
      <c r="Q61" s="21"/>
      <c r="R61" s="21">
        <f>5886+3605+11906+2122.84-2350</f>
        <v>21169.84</v>
      </c>
      <c r="S61" s="229">
        <f t="shared" si="12"/>
        <v>65395.839999999997</v>
      </c>
      <c r="T61" s="231">
        <f t="shared" si="13"/>
        <v>25.878844479620103</v>
      </c>
      <c r="U61" s="97"/>
    </row>
    <row r="62" spans="1:21" ht="23.1" customHeight="1" thickBot="1" x14ac:dyDescent="0.3">
      <c r="A62" s="242" t="s">
        <v>85</v>
      </c>
      <c r="B62" s="251" t="s">
        <v>223</v>
      </c>
      <c r="C62" s="208"/>
      <c r="D62" s="384" t="s">
        <v>345</v>
      </c>
      <c r="E62" s="386">
        <v>61</v>
      </c>
      <c r="F62" s="274" t="s">
        <v>111</v>
      </c>
      <c r="G62" s="385">
        <v>20</v>
      </c>
      <c r="H62" s="23"/>
      <c r="I62" s="22"/>
      <c r="J62" s="22"/>
      <c r="K62" s="22"/>
      <c r="L62" s="22">
        <f>2000+200+10597</f>
        <v>12797</v>
      </c>
      <c r="M62" s="22"/>
      <c r="N62" s="220">
        <f t="shared" si="11"/>
        <v>12797</v>
      </c>
      <c r="O62" s="25"/>
      <c r="P62" s="24"/>
      <c r="Q62" s="24"/>
      <c r="R62" s="24">
        <v>2350</v>
      </c>
      <c r="S62" s="229">
        <f t="shared" si="12"/>
        <v>15147</v>
      </c>
      <c r="T62" s="232">
        <f t="shared" si="13"/>
        <v>248.31147540983608</v>
      </c>
      <c r="U62" s="98"/>
    </row>
    <row r="63" spans="1:21" ht="23.1" customHeight="1" thickTop="1" thickBot="1" x14ac:dyDescent="0.35">
      <c r="A63" s="404" t="s">
        <v>104</v>
      </c>
      <c r="B63" s="403"/>
      <c r="C63" s="66"/>
      <c r="D63" s="36"/>
      <c r="E63" s="37"/>
      <c r="F63" s="278"/>
      <c r="G63" s="38"/>
      <c r="H63" s="211">
        <f t="shared" ref="H63:N63" si="14">SUM(H64:H81)</f>
        <v>178954</v>
      </c>
      <c r="I63" s="212">
        <f t="shared" si="14"/>
        <v>0</v>
      </c>
      <c r="J63" s="212">
        <f t="shared" si="14"/>
        <v>0</v>
      </c>
      <c r="K63" s="212">
        <f t="shared" si="14"/>
        <v>45287</v>
      </c>
      <c r="L63" s="212">
        <f t="shared" si="14"/>
        <v>0</v>
      </c>
      <c r="M63" s="212">
        <f t="shared" si="14"/>
        <v>10240</v>
      </c>
      <c r="N63" s="213">
        <f t="shared" si="14"/>
        <v>234481</v>
      </c>
      <c r="O63" s="212">
        <f>SUM(O64:O81)</f>
        <v>0</v>
      </c>
      <c r="P63" s="212">
        <f>SUM(P64:P81)</f>
        <v>0</v>
      </c>
      <c r="Q63" s="212">
        <f>SUM(Q64:Q81)</f>
        <v>254766</v>
      </c>
      <c r="R63" s="212">
        <f>SUM(R64:R81)</f>
        <v>2761375</v>
      </c>
      <c r="S63" s="214">
        <f>N63+O63+P63+R63+Q63</f>
        <v>3250622</v>
      </c>
      <c r="T63" s="233"/>
      <c r="U63" s="101"/>
    </row>
    <row r="64" spans="1:21" ht="23.1" customHeight="1" thickTop="1" x14ac:dyDescent="0.25">
      <c r="A64" s="242" t="s">
        <v>43</v>
      </c>
      <c r="B64" s="249" t="s">
        <v>44</v>
      </c>
      <c r="C64" s="201"/>
      <c r="D64" s="375" t="s">
        <v>233</v>
      </c>
      <c r="E64" s="376">
        <v>10814</v>
      </c>
      <c r="F64" s="273" t="s">
        <v>230</v>
      </c>
      <c r="G64" s="377">
        <v>500</v>
      </c>
      <c r="H64" s="23"/>
      <c r="I64" s="22"/>
      <c r="J64" s="22"/>
      <c r="K64" s="22">
        <f>6811+19238</f>
        <v>26049</v>
      </c>
      <c r="L64" s="22"/>
      <c r="M64" s="22"/>
      <c r="N64" s="223">
        <f t="shared" ref="N64:N81" si="15">SUM(H64:M64)</f>
        <v>26049</v>
      </c>
      <c r="O64" s="23"/>
      <c r="P64" s="22"/>
      <c r="Q64" s="22"/>
      <c r="R64" s="22"/>
      <c r="S64" s="229">
        <f t="shared" si="12"/>
        <v>26049</v>
      </c>
      <c r="T64" s="231">
        <f t="shared" ref="T64:T81" si="16">S64/E64</f>
        <v>2.4088218975402258</v>
      </c>
      <c r="U64" s="97"/>
    </row>
    <row r="65" spans="1:21" ht="23.1" customHeight="1" x14ac:dyDescent="0.25">
      <c r="A65" s="242" t="s">
        <v>52</v>
      </c>
      <c r="B65" s="243" t="s">
        <v>53</v>
      </c>
      <c r="C65" s="196"/>
      <c r="D65" s="375"/>
      <c r="E65" s="376"/>
      <c r="F65" s="273" t="s">
        <v>230</v>
      </c>
      <c r="G65" s="377"/>
      <c r="H65" s="23"/>
      <c r="I65" s="22"/>
      <c r="J65" s="22"/>
      <c r="K65" s="22"/>
      <c r="L65" s="22"/>
      <c r="M65" s="22"/>
      <c r="N65" s="223">
        <f t="shared" si="15"/>
        <v>0</v>
      </c>
      <c r="O65" s="23"/>
      <c r="P65" s="22"/>
      <c r="Q65" s="387"/>
      <c r="R65" s="22"/>
      <c r="S65" s="229">
        <f t="shared" si="12"/>
        <v>0</v>
      </c>
      <c r="T65" s="231" t="e">
        <f t="shared" si="16"/>
        <v>#DIV/0!</v>
      </c>
      <c r="U65" s="97"/>
    </row>
    <row r="66" spans="1:21" ht="23.1" customHeight="1" x14ac:dyDescent="0.25">
      <c r="A66" s="242" t="s">
        <v>54</v>
      </c>
      <c r="B66" s="243" t="s">
        <v>55</v>
      </c>
      <c r="C66" s="196"/>
      <c r="D66" s="375" t="s">
        <v>345</v>
      </c>
      <c r="E66" s="376">
        <v>7632</v>
      </c>
      <c r="F66" s="273" t="s">
        <v>108</v>
      </c>
      <c r="G66" s="377">
        <v>188</v>
      </c>
      <c r="H66" s="23"/>
      <c r="I66" s="22"/>
      <c r="J66" s="22"/>
      <c r="K66" s="22"/>
      <c r="L66" s="22"/>
      <c r="M66" s="22"/>
      <c r="N66" s="223">
        <f t="shared" si="15"/>
        <v>0</v>
      </c>
      <c r="O66" s="23"/>
      <c r="P66" s="22"/>
      <c r="Q66" s="387"/>
      <c r="R66" s="22">
        <f>40000+1517479</f>
        <v>1557479</v>
      </c>
      <c r="S66" s="229">
        <f t="shared" si="12"/>
        <v>1557479</v>
      </c>
      <c r="T66" s="231">
        <f t="shared" si="16"/>
        <v>204.0721960167715</v>
      </c>
      <c r="U66" s="97"/>
    </row>
    <row r="67" spans="1:21" ht="23.1" customHeight="1" x14ac:dyDescent="0.25">
      <c r="A67" s="242" t="s">
        <v>56</v>
      </c>
      <c r="B67" s="243" t="s">
        <v>57</v>
      </c>
      <c r="C67" s="196"/>
      <c r="D67" s="375" t="s">
        <v>345</v>
      </c>
      <c r="E67" s="376">
        <v>9</v>
      </c>
      <c r="F67" s="273" t="s">
        <v>115</v>
      </c>
      <c r="G67" s="377">
        <v>259</v>
      </c>
      <c r="H67" s="23"/>
      <c r="I67" s="22"/>
      <c r="J67" s="22"/>
      <c r="K67" s="22"/>
      <c r="L67" s="22"/>
      <c r="M67" s="22">
        <f>10240</f>
        <v>10240</v>
      </c>
      <c r="N67" s="223">
        <f t="shared" si="15"/>
        <v>10240</v>
      </c>
      <c r="O67" s="23"/>
      <c r="P67" s="22"/>
      <c r="Q67" s="387"/>
      <c r="R67" s="22"/>
      <c r="S67" s="229">
        <f t="shared" si="12"/>
        <v>10240</v>
      </c>
      <c r="T67" s="231">
        <f t="shared" si="16"/>
        <v>1137.7777777777778</v>
      </c>
      <c r="U67" s="97" t="s">
        <v>360</v>
      </c>
    </row>
    <row r="68" spans="1:21" ht="23.1" customHeight="1" x14ac:dyDescent="0.25">
      <c r="A68" s="242" t="s">
        <v>58</v>
      </c>
      <c r="B68" s="264" t="s">
        <v>347</v>
      </c>
      <c r="C68" s="209"/>
      <c r="D68" s="375"/>
      <c r="E68" s="376"/>
      <c r="F68" s="273" t="s">
        <v>115</v>
      </c>
      <c r="G68" s="377"/>
      <c r="H68" s="23"/>
      <c r="I68" s="22"/>
      <c r="J68" s="22"/>
      <c r="K68" s="22"/>
      <c r="L68" s="22"/>
      <c r="M68" s="22"/>
      <c r="N68" s="223">
        <f t="shared" si="15"/>
        <v>0</v>
      </c>
      <c r="O68" s="23"/>
      <c r="P68" s="22"/>
      <c r="Q68" s="387"/>
      <c r="R68" s="22"/>
      <c r="S68" s="229">
        <f t="shared" si="12"/>
        <v>0</v>
      </c>
      <c r="T68" s="231" t="e">
        <f t="shared" si="16"/>
        <v>#DIV/0!</v>
      </c>
      <c r="U68" s="97"/>
    </row>
    <row r="69" spans="1:21" ht="23.1" customHeight="1" x14ac:dyDescent="0.25">
      <c r="A69" s="242" t="s">
        <v>59</v>
      </c>
      <c r="B69" s="251" t="s">
        <v>60</v>
      </c>
      <c r="C69" s="202"/>
      <c r="D69" s="375"/>
      <c r="E69" s="376"/>
      <c r="F69" s="273" t="s">
        <v>112</v>
      </c>
      <c r="G69" s="377"/>
      <c r="H69" s="23"/>
      <c r="I69" s="22"/>
      <c r="J69" s="22"/>
      <c r="K69" s="22"/>
      <c r="L69" s="22"/>
      <c r="M69" s="22"/>
      <c r="N69" s="223">
        <f t="shared" si="15"/>
        <v>0</v>
      </c>
      <c r="O69" s="23"/>
      <c r="P69" s="22"/>
      <c r="Q69" s="387"/>
      <c r="R69" s="22"/>
      <c r="S69" s="229">
        <f t="shared" si="12"/>
        <v>0</v>
      </c>
      <c r="T69" s="231" t="e">
        <f t="shared" si="16"/>
        <v>#DIV/0!</v>
      </c>
      <c r="U69" s="97"/>
    </row>
    <row r="70" spans="1:21" ht="23.1" customHeight="1" x14ac:dyDescent="0.25">
      <c r="A70" s="242" t="s">
        <v>64</v>
      </c>
      <c r="B70" s="251" t="s">
        <v>65</v>
      </c>
      <c r="C70" s="202"/>
      <c r="D70" s="375"/>
      <c r="E70" s="376"/>
      <c r="F70" s="273" t="s">
        <v>118</v>
      </c>
      <c r="G70" s="377"/>
      <c r="H70" s="23"/>
      <c r="I70" s="22"/>
      <c r="J70" s="22"/>
      <c r="K70" s="22"/>
      <c r="L70" s="22"/>
      <c r="M70" s="22"/>
      <c r="N70" s="223">
        <f t="shared" si="15"/>
        <v>0</v>
      </c>
      <c r="O70" s="23"/>
      <c r="P70" s="22"/>
      <c r="Q70" s="387"/>
      <c r="R70" s="22"/>
      <c r="S70" s="229">
        <f t="shared" si="12"/>
        <v>0</v>
      </c>
      <c r="T70" s="231" t="e">
        <f t="shared" si="16"/>
        <v>#DIV/0!</v>
      </c>
      <c r="U70" s="97"/>
    </row>
    <row r="71" spans="1:21" ht="23.1" customHeight="1" x14ac:dyDescent="0.25">
      <c r="A71" s="242" t="s">
        <v>116</v>
      </c>
      <c r="B71" s="251" t="s">
        <v>61</v>
      </c>
      <c r="C71" s="202"/>
      <c r="D71" s="375" t="s">
        <v>233</v>
      </c>
      <c r="E71" s="376">
        <v>68979</v>
      </c>
      <c r="F71" s="273" t="s">
        <v>108</v>
      </c>
      <c r="G71" s="377"/>
      <c r="H71" s="23"/>
      <c r="I71" s="22"/>
      <c r="J71" s="22"/>
      <c r="K71" s="22"/>
      <c r="L71" s="22"/>
      <c r="M71" s="22"/>
      <c r="N71" s="223">
        <f t="shared" si="15"/>
        <v>0</v>
      </c>
      <c r="O71" s="23"/>
      <c r="P71" s="22"/>
      <c r="Q71" s="387"/>
      <c r="R71" s="22">
        <f>344916</f>
        <v>344916</v>
      </c>
      <c r="S71" s="229">
        <f t="shared" si="12"/>
        <v>344916</v>
      </c>
      <c r="T71" s="231">
        <f t="shared" si="16"/>
        <v>5.0003044404818855</v>
      </c>
      <c r="U71" s="97"/>
    </row>
    <row r="72" spans="1:21" ht="23.1" customHeight="1" x14ac:dyDescent="0.25">
      <c r="A72" s="255">
        <v>71</v>
      </c>
      <c r="B72" s="251" t="s">
        <v>84</v>
      </c>
      <c r="C72" s="202"/>
      <c r="D72" s="375" t="s">
        <v>233</v>
      </c>
      <c r="E72" s="376">
        <v>396</v>
      </c>
      <c r="F72" s="273" t="s">
        <v>230</v>
      </c>
      <c r="G72" s="377">
        <v>108</v>
      </c>
      <c r="H72" s="39"/>
      <c r="I72" s="40"/>
      <c r="J72" s="40"/>
      <c r="K72" s="40">
        <f>19238</f>
        <v>19238</v>
      </c>
      <c r="L72" s="40"/>
      <c r="M72" s="40"/>
      <c r="N72" s="227">
        <f t="shared" si="15"/>
        <v>19238</v>
      </c>
      <c r="O72" s="39"/>
      <c r="P72" s="40"/>
      <c r="Q72" s="388">
        <v>104146</v>
      </c>
      <c r="R72" s="40">
        <f>69788</f>
        <v>69788</v>
      </c>
      <c r="S72" s="229">
        <f t="shared" si="12"/>
        <v>193172</v>
      </c>
      <c r="T72" s="236">
        <f t="shared" si="16"/>
        <v>487.80808080808083</v>
      </c>
      <c r="U72" s="103"/>
    </row>
    <row r="73" spans="1:21" ht="23.1" customHeight="1" x14ac:dyDescent="0.25">
      <c r="A73" s="263">
        <v>72</v>
      </c>
      <c r="B73" s="251" t="s">
        <v>221</v>
      </c>
      <c r="C73" s="202"/>
      <c r="D73" s="375"/>
      <c r="E73" s="376"/>
      <c r="F73" s="273" t="s">
        <v>111</v>
      </c>
      <c r="G73" s="377"/>
      <c r="H73" s="23"/>
      <c r="I73" s="22"/>
      <c r="J73" s="22"/>
      <c r="K73" s="22"/>
      <c r="L73" s="22"/>
      <c r="M73" s="22"/>
      <c r="N73" s="223">
        <f t="shared" si="15"/>
        <v>0</v>
      </c>
      <c r="O73" s="23"/>
      <c r="P73" s="22"/>
      <c r="Q73" s="387"/>
      <c r="R73" s="22"/>
      <c r="S73" s="229">
        <f t="shared" si="12"/>
        <v>0</v>
      </c>
      <c r="T73" s="231" t="e">
        <f t="shared" si="16"/>
        <v>#DIV/0!</v>
      </c>
      <c r="U73" s="97"/>
    </row>
    <row r="74" spans="1:21" ht="23.1" customHeight="1" x14ac:dyDescent="0.25">
      <c r="A74" s="242" t="s">
        <v>86</v>
      </c>
      <c r="B74" s="251" t="s">
        <v>87</v>
      </c>
      <c r="C74" s="202"/>
      <c r="D74" s="375" t="s">
        <v>233</v>
      </c>
      <c r="E74" s="376">
        <v>5</v>
      </c>
      <c r="F74" s="273" t="s">
        <v>117</v>
      </c>
      <c r="G74" s="377">
        <v>5</v>
      </c>
      <c r="H74" s="23">
        <v>178954</v>
      </c>
      <c r="I74" s="22"/>
      <c r="J74" s="22"/>
      <c r="K74" s="22"/>
      <c r="L74" s="22"/>
      <c r="M74" s="22"/>
      <c r="N74" s="223">
        <f t="shared" si="15"/>
        <v>178954</v>
      </c>
      <c r="O74" s="23"/>
      <c r="P74" s="22"/>
      <c r="Q74" s="387"/>
      <c r="R74" s="22">
        <f>347381+200933</f>
        <v>548314</v>
      </c>
      <c r="S74" s="229">
        <f t="shared" si="12"/>
        <v>727268</v>
      </c>
      <c r="T74" s="231">
        <f t="shared" si="16"/>
        <v>145453.6</v>
      </c>
      <c r="U74" s="97"/>
    </row>
    <row r="75" spans="1:21" ht="23.1" customHeight="1" x14ac:dyDescent="0.25">
      <c r="A75" s="242" t="s">
        <v>88</v>
      </c>
      <c r="B75" s="264" t="s">
        <v>89</v>
      </c>
      <c r="C75" s="209"/>
      <c r="D75" s="375" t="s">
        <v>345</v>
      </c>
      <c r="E75" s="376">
        <v>987</v>
      </c>
      <c r="F75" s="273" t="s">
        <v>110</v>
      </c>
      <c r="G75" s="377">
        <v>627</v>
      </c>
      <c r="H75" s="23"/>
      <c r="I75" s="22"/>
      <c r="J75" s="22"/>
      <c r="K75" s="22"/>
      <c r="L75" s="22"/>
      <c r="M75" s="22"/>
      <c r="N75" s="223">
        <f t="shared" si="15"/>
        <v>0</v>
      </c>
      <c r="O75" s="23"/>
      <c r="P75" s="22"/>
      <c r="Q75" s="387"/>
      <c r="R75" s="22">
        <f>260000+186729+178271-44273-106168-5886-3605-11906-212284</f>
        <v>240878</v>
      </c>
      <c r="S75" s="229">
        <f t="shared" si="12"/>
        <v>240878</v>
      </c>
      <c r="T75" s="231">
        <f t="shared" si="16"/>
        <v>244.05065856129687</v>
      </c>
      <c r="U75" s="97"/>
    </row>
    <row r="76" spans="1:21" ht="23.1" customHeight="1" x14ac:dyDescent="0.25">
      <c r="A76" s="242" t="s">
        <v>90</v>
      </c>
      <c r="B76" s="243" t="s">
        <v>91</v>
      </c>
      <c r="C76" s="196"/>
      <c r="D76" s="375" t="s">
        <v>345</v>
      </c>
      <c r="E76" s="374">
        <v>76</v>
      </c>
      <c r="F76" s="273" t="s">
        <v>108</v>
      </c>
      <c r="G76" s="28"/>
      <c r="H76" s="23"/>
      <c r="I76" s="22"/>
      <c r="J76" s="22"/>
      <c r="K76" s="22"/>
      <c r="L76" s="22"/>
      <c r="M76" s="22"/>
      <c r="N76" s="223">
        <f t="shared" si="15"/>
        <v>0</v>
      </c>
      <c r="O76" s="23"/>
      <c r="P76" s="22"/>
      <c r="Q76" s="392">
        <v>138120</v>
      </c>
      <c r="R76" s="22"/>
      <c r="S76" s="229">
        <f t="shared" si="12"/>
        <v>138120</v>
      </c>
      <c r="T76" s="231">
        <f t="shared" si="16"/>
        <v>1817.3684210526317</v>
      </c>
      <c r="U76" s="97" t="s">
        <v>361</v>
      </c>
    </row>
    <row r="77" spans="1:21" ht="23.1" customHeight="1" x14ac:dyDescent="0.25">
      <c r="A77" s="240" t="s">
        <v>92</v>
      </c>
      <c r="B77" s="247" t="s">
        <v>93</v>
      </c>
      <c r="C77" s="41"/>
      <c r="D77" s="375"/>
      <c r="E77" s="122"/>
      <c r="F77" s="273" t="s">
        <v>180</v>
      </c>
      <c r="G77" s="28"/>
      <c r="H77" s="23"/>
      <c r="I77" s="22"/>
      <c r="J77" s="22"/>
      <c r="K77" s="22"/>
      <c r="L77" s="22"/>
      <c r="M77" s="22"/>
      <c r="N77" s="223">
        <f t="shared" si="15"/>
        <v>0</v>
      </c>
      <c r="O77" s="23"/>
      <c r="P77" s="22"/>
      <c r="Q77" s="387"/>
      <c r="R77" s="22"/>
      <c r="S77" s="229">
        <f t="shared" si="12"/>
        <v>0</v>
      </c>
      <c r="T77" s="231" t="e">
        <f t="shared" si="16"/>
        <v>#DIV/0!</v>
      </c>
      <c r="U77" s="97"/>
    </row>
    <row r="78" spans="1:21" ht="23.1" customHeight="1" x14ac:dyDescent="0.25">
      <c r="A78" s="265">
        <v>900</v>
      </c>
      <c r="B78" s="247" t="s">
        <v>310</v>
      </c>
      <c r="C78" s="41"/>
      <c r="D78" s="375" t="s">
        <v>345</v>
      </c>
      <c r="E78" s="122"/>
      <c r="F78" s="61"/>
      <c r="G78" s="28"/>
      <c r="H78" s="23"/>
      <c r="I78" s="22"/>
      <c r="J78" s="22"/>
      <c r="K78" s="22"/>
      <c r="L78" s="22"/>
      <c r="M78" s="22"/>
      <c r="N78" s="223">
        <f t="shared" si="15"/>
        <v>0</v>
      </c>
      <c r="O78" s="23"/>
      <c r="P78" s="22"/>
      <c r="Q78" s="387">
        <v>12500</v>
      </c>
      <c r="R78" s="22"/>
      <c r="S78" s="229">
        <f t="shared" si="12"/>
        <v>12500</v>
      </c>
      <c r="T78" s="231" t="e">
        <f>S78/E78</f>
        <v>#DIV/0!</v>
      </c>
      <c r="U78" s="97"/>
    </row>
    <row r="79" spans="1:21" ht="23.1" customHeight="1" x14ac:dyDescent="0.25">
      <c r="A79" s="265">
        <v>900</v>
      </c>
      <c r="B79" s="247" t="s">
        <v>96</v>
      </c>
      <c r="C79" s="41"/>
      <c r="D79" s="125"/>
      <c r="E79" s="122"/>
      <c r="F79" s="61"/>
      <c r="G79" s="28"/>
      <c r="H79" s="23"/>
      <c r="I79" s="22"/>
      <c r="J79" s="22"/>
      <c r="K79" s="22"/>
      <c r="L79" s="22"/>
      <c r="M79" s="22"/>
      <c r="N79" s="223">
        <f t="shared" si="15"/>
        <v>0</v>
      </c>
      <c r="O79" s="23"/>
      <c r="P79" s="22"/>
      <c r="Q79" s="387"/>
      <c r="R79" s="22"/>
      <c r="S79" s="229">
        <f t="shared" si="12"/>
        <v>0</v>
      </c>
      <c r="T79" s="231" t="e">
        <f>S79/E79</f>
        <v>#DIV/0!</v>
      </c>
      <c r="U79" s="97"/>
    </row>
    <row r="80" spans="1:21" ht="23.1" customHeight="1" x14ac:dyDescent="0.25">
      <c r="A80" s="265">
        <v>900</v>
      </c>
      <c r="B80" s="247" t="s">
        <v>96</v>
      </c>
      <c r="C80" s="41"/>
      <c r="D80" s="125"/>
      <c r="E80" s="122"/>
      <c r="F80" s="61"/>
      <c r="G80" s="28"/>
      <c r="H80" s="23"/>
      <c r="I80" s="22"/>
      <c r="J80" s="22"/>
      <c r="K80" s="22"/>
      <c r="L80" s="22"/>
      <c r="M80" s="22"/>
      <c r="N80" s="223">
        <f t="shared" si="15"/>
        <v>0</v>
      </c>
      <c r="O80" s="23"/>
      <c r="P80" s="22"/>
      <c r="Q80" s="387"/>
      <c r="R80" s="22"/>
      <c r="S80" s="229">
        <f t="shared" si="12"/>
        <v>0</v>
      </c>
      <c r="T80" s="231" t="e">
        <f>S80/E80</f>
        <v>#DIV/0!</v>
      </c>
      <c r="U80" s="97"/>
    </row>
    <row r="81" spans="1:21" ht="23.1" customHeight="1" thickBot="1" x14ac:dyDescent="0.3">
      <c r="A81" s="266">
        <v>900</v>
      </c>
      <c r="B81" s="261" t="s">
        <v>96</v>
      </c>
      <c r="C81" s="42"/>
      <c r="D81" s="127"/>
      <c r="E81" s="124"/>
      <c r="F81" s="62"/>
      <c r="G81" s="43"/>
      <c r="H81" s="44"/>
      <c r="I81" s="45"/>
      <c r="J81" s="45"/>
      <c r="K81" s="45"/>
      <c r="L81" s="45"/>
      <c r="M81" s="45"/>
      <c r="N81" s="228">
        <f t="shared" si="15"/>
        <v>0</v>
      </c>
      <c r="O81" s="44"/>
      <c r="P81" s="45"/>
      <c r="Q81" s="45"/>
      <c r="R81" s="45"/>
      <c r="S81" s="229">
        <f t="shared" si="12"/>
        <v>0</v>
      </c>
      <c r="T81" s="237" t="e">
        <f t="shared" si="16"/>
        <v>#DIV/0!</v>
      </c>
      <c r="U81" s="104"/>
    </row>
    <row r="82" spans="1:21" ht="23.1" customHeight="1" thickTop="1" thickBot="1" x14ac:dyDescent="0.25">
      <c r="A82" s="398" t="s">
        <v>158</v>
      </c>
      <c r="B82" s="399"/>
      <c r="C82" s="399"/>
      <c r="D82" s="399"/>
      <c r="E82" s="399"/>
      <c r="F82" s="399"/>
      <c r="G82" s="400"/>
      <c r="H82" s="218">
        <f t="shared" ref="H82:S82" si="17">H63+H46+H40+H38+H24+H11+H7</f>
        <v>927322</v>
      </c>
      <c r="I82" s="218">
        <f t="shared" si="17"/>
        <v>386251</v>
      </c>
      <c r="J82" s="218">
        <f t="shared" si="17"/>
        <v>627142</v>
      </c>
      <c r="K82" s="218">
        <f t="shared" si="17"/>
        <v>45287</v>
      </c>
      <c r="L82" s="218">
        <f t="shared" si="17"/>
        <v>273554</v>
      </c>
      <c r="M82" s="218">
        <f t="shared" si="17"/>
        <v>10240</v>
      </c>
      <c r="N82" s="218">
        <f t="shared" si="17"/>
        <v>2269796</v>
      </c>
      <c r="O82" s="218">
        <f t="shared" si="17"/>
        <v>473737</v>
      </c>
      <c r="P82" s="218">
        <f t="shared" si="17"/>
        <v>1547232</v>
      </c>
      <c r="Q82" s="218">
        <f t="shared" si="17"/>
        <v>897189</v>
      </c>
      <c r="R82" s="218">
        <f t="shared" si="17"/>
        <v>6703191.8399999999</v>
      </c>
      <c r="S82" s="218">
        <f t="shared" si="17"/>
        <v>11891145.84</v>
      </c>
      <c r="T82" s="210"/>
      <c r="U82" s="46"/>
    </row>
    <row r="83" spans="1:21" ht="15.6" x14ac:dyDescent="0.3">
      <c r="A83" s="80"/>
      <c r="B83" s="47"/>
      <c r="C83" s="47"/>
      <c r="D83" s="16"/>
      <c r="E83" s="16"/>
      <c r="F83" s="17"/>
      <c r="G83" s="48"/>
      <c r="H83" s="49"/>
      <c r="I83" s="49"/>
      <c r="J83" s="49"/>
      <c r="K83" s="49"/>
      <c r="L83" s="49"/>
      <c r="M83" s="49"/>
      <c r="N83" s="12"/>
      <c r="O83" s="12"/>
      <c r="P83" s="12"/>
      <c r="Q83" s="12"/>
      <c r="R83" s="12"/>
      <c r="U83" s="50"/>
    </row>
    <row r="84" spans="1:21" hidden="1" x14ac:dyDescent="0.25">
      <c r="A84" s="81"/>
      <c r="B84" s="47"/>
      <c r="C84" s="47"/>
      <c r="D84" s="16"/>
      <c r="E84" s="16"/>
      <c r="F84" s="17"/>
      <c r="G84" s="51">
        <v>0.18</v>
      </c>
      <c r="H84" s="49">
        <f>H82*0.18</f>
        <v>166917.96</v>
      </c>
      <c r="I84" s="49"/>
      <c r="J84" s="49"/>
      <c r="K84" s="49"/>
      <c r="L84" s="49"/>
      <c r="M84" s="49"/>
      <c r="N84" s="12"/>
      <c r="O84" s="12"/>
      <c r="P84" s="12"/>
      <c r="Q84" s="12"/>
      <c r="R84" s="12"/>
      <c r="U84" s="50"/>
    </row>
    <row r="85" spans="1:21" hidden="1" x14ac:dyDescent="0.25">
      <c r="A85" s="81"/>
      <c r="B85" s="47"/>
      <c r="C85" s="47"/>
      <c r="D85" s="16"/>
      <c r="E85" s="16"/>
      <c r="F85" s="17"/>
      <c r="G85" s="51">
        <v>0.03</v>
      </c>
      <c r="H85" s="49">
        <f>H82*0.03</f>
        <v>27819.66</v>
      </c>
      <c r="I85" s="49"/>
      <c r="J85" s="49"/>
      <c r="K85" s="49"/>
      <c r="L85" s="49"/>
      <c r="M85" s="49"/>
      <c r="N85" s="12"/>
      <c r="O85" s="12"/>
      <c r="P85" s="12"/>
      <c r="Q85" s="12"/>
      <c r="R85" s="12"/>
      <c r="U85" s="50"/>
    </row>
    <row r="86" spans="1:21" x14ac:dyDescent="0.25">
      <c r="B86" s="81" t="s">
        <v>297</v>
      </c>
      <c r="C86" s="47"/>
      <c r="D86" s="16"/>
      <c r="E86" s="16"/>
      <c r="F86" s="17"/>
      <c r="G86" s="48"/>
      <c r="H86" s="49"/>
      <c r="I86" s="49"/>
      <c r="J86" s="49"/>
      <c r="K86" s="49"/>
      <c r="L86" s="49"/>
      <c r="M86" s="49"/>
      <c r="N86" s="12"/>
      <c r="O86" s="12"/>
      <c r="P86" s="12"/>
      <c r="Q86" s="12"/>
      <c r="R86" s="12"/>
      <c r="U86" s="50"/>
    </row>
    <row r="87" spans="1:21" x14ac:dyDescent="0.25">
      <c r="A87" s="81"/>
      <c r="B87" s="47"/>
      <c r="C87" s="47"/>
      <c r="D87" s="16"/>
      <c r="E87" s="16"/>
      <c r="F87" s="17"/>
      <c r="G87" s="48"/>
      <c r="H87" s="49"/>
      <c r="I87" s="49"/>
      <c r="J87" s="49"/>
      <c r="K87" s="49"/>
      <c r="L87" s="49"/>
      <c r="M87" s="49"/>
      <c r="N87" s="12"/>
      <c r="O87" s="12"/>
      <c r="P87" s="12"/>
      <c r="Q87" s="12"/>
      <c r="R87" s="12"/>
      <c r="U87" s="50"/>
    </row>
    <row r="88" spans="1:21" ht="15.6" x14ac:dyDescent="0.2">
      <c r="A88" s="82"/>
      <c r="B88" s="15"/>
      <c r="C88" s="15"/>
      <c r="D88" s="52"/>
      <c r="E88" s="48"/>
      <c r="F88" s="17"/>
      <c r="G88" s="48"/>
      <c r="H88" s="49"/>
      <c r="I88" s="49"/>
      <c r="J88" s="49"/>
      <c r="K88" s="49"/>
      <c r="L88" s="49"/>
      <c r="M88" s="49"/>
      <c r="N88" s="12"/>
      <c r="O88" s="12"/>
      <c r="P88" s="12"/>
      <c r="Q88" s="12"/>
      <c r="R88" s="12"/>
      <c r="U88" s="50"/>
    </row>
    <row r="89" spans="1:21" x14ac:dyDescent="0.2">
      <c r="A89" s="83"/>
      <c r="B89" s="15"/>
      <c r="C89" s="15"/>
      <c r="D89" s="48"/>
      <c r="E89" s="48"/>
      <c r="F89" s="17"/>
      <c r="G89" s="48"/>
      <c r="H89" s="49"/>
      <c r="I89" s="49"/>
      <c r="J89" s="49"/>
      <c r="K89" s="49"/>
      <c r="L89" s="49"/>
      <c r="M89" s="49"/>
      <c r="N89" s="12"/>
      <c r="O89" s="12"/>
      <c r="P89" s="12"/>
      <c r="Q89" s="12"/>
      <c r="R89" s="12"/>
      <c r="U89" s="50"/>
    </row>
    <row r="90" spans="1:21" x14ac:dyDescent="0.25">
      <c r="A90" s="81"/>
      <c r="B90" s="42"/>
      <c r="C90" s="42"/>
      <c r="D90" s="48"/>
      <c r="E90" s="48"/>
      <c r="F90" s="17"/>
      <c r="G90" s="48"/>
      <c r="H90" s="49"/>
      <c r="I90" s="49"/>
      <c r="J90" s="49"/>
      <c r="K90" s="49"/>
      <c r="L90" s="49"/>
      <c r="M90" s="49"/>
      <c r="N90" s="12"/>
      <c r="O90" s="12"/>
      <c r="P90" s="12"/>
      <c r="Q90" s="12"/>
      <c r="R90" s="12"/>
      <c r="U90" s="50"/>
    </row>
    <row r="91" spans="1:21" x14ac:dyDescent="0.25">
      <c r="A91" s="81"/>
      <c r="B91" s="42"/>
      <c r="C91" s="42"/>
      <c r="D91" s="48"/>
      <c r="E91" s="48"/>
      <c r="F91" s="17"/>
      <c r="G91" s="48"/>
      <c r="H91" s="49"/>
      <c r="I91" s="49"/>
      <c r="J91" s="49"/>
      <c r="K91" s="49"/>
      <c r="L91" s="49"/>
      <c r="M91" s="49"/>
      <c r="N91" s="12"/>
      <c r="O91" s="12"/>
      <c r="P91" s="12"/>
      <c r="Q91" s="12"/>
      <c r="R91" s="12"/>
      <c r="U91" s="50"/>
    </row>
    <row r="92" spans="1:21" x14ac:dyDescent="0.25">
      <c r="A92" s="81"/>
      <c r="B92" s="47"/>
      <c r="C92" s="47"/>
      <c r="D92" s="48"/>
      <c r="E92" s="48"/>
      <c r="F92" s="17"/>
      <c r="G92" s="48"/>
      <c r="H92" s="49"/>
      <c r="I92" s="49"/>
      <c r="J92" s="49"/>
      <c r="K92" s="49"/>
      <c r="L92" s="49"/>
      <c r="M92" s="49"/>
      <c r="N92" s="12"/>
      <c r="O92" s="12"/>
      <c r="P92" s="12"/>
      <c r="Q92" s="12"/>
      <c r="R92" s="12"/>
      <c r="U92" s="50"/>
    </row>
    <row r="93" spans="1:21" x14ac:dyDescent="0.25">
      <c r="A93" s="81"/>
      <c r="B93" s="47"/>
      <c r="C93" s="47"/>
      <c r="D93" s="48"/>
      <c r="E93" s="48"/>
      <c r="F93" s="17"/>
      <c r="G93" s="48"/>
      <c r="H93" s="49"/>
      <c r="I93" s="49"/>
      <c r="J93" s="49"/>
      <c r="K93" s="49"/>
      <c r="L93" s="49"/>
      <c r="M93" s="49"/>
      <c r="N93" s="12"/>
      <c r="O93" s="12"/>
      <c r="P93" s="12"/>
      <c r="Q93" s="12"/>
      <c r="R93" s="12"/>
      <c r="U93" s="50"/>
    </row>
    <row r="94" spans="1:21" x14ac:dyDescent="0.25">
      <c r="A94" s="81"/>
      <c r="B94" s="47"/>
      <c r="C94" s="47"/>
      <c r="D94" s="48"/>
      <c r="E94" s="48"/>
      <c r="F94" s="17"/>
      <c r="G94" s="48"/>
      <c r="H94" s="49"/>
      <c r="I94" s="49"/>
      <c r="J94" s="49"/>
      <c r="K94" s="49"/>
      <c r="L94" s="49"/>
      <c r="M94" s="49"/>
      <c r="N94" s="12"/>
      <c r="O94" s="12"/>
      <c r="P94" s="12"/>
      <c r="Q94" s="12"/>
      <c r="R94" s="12"/>
      <c r="U94" s="50"/>
    </row>
    <row r="95" spans="1:21" x14ac:dyDescent="0.25">
      <c r="A95" s="81"/>
      <c r="B95" s="47"/>
      <c r="C95" s="47"/>
      <c r="D95" s="48"/>
      <c r="E95" s="48"/>
      <c r="F95" s="17"/>
      <c r="G95" s="48"/>
      <c r="H95" s="49"/>
      <c r="I95" s="49"/>
      <c r="J95" s="49"/>
      <c r="K95" s="49"/>
      <c r="L95" s="49"/>
      <c r="M95" s="49"/>
      <c r="N95" s="12"/>
      <c r="O95" s="12"/>
      <c r="P95" s="12"/>
      <c r="Q95" s="12"/>
      <c r="R95" s="12"/>
      <c r="U95" s="50"/>
    </row>
    <row r="96" spans="1:21" x14ac:dyDescent="0.25">
      <c r="A96" s="81"/>
      <c r="B96" s="47"/>
      <c r="C96" s="47"/>
      <c r="D96" s="48"/>
      <c r="E96" s="48"/>
      <c r="F96" s="17"/>
      <c r="G96" s="48"/>
      <c r="H96" s="49"/>
      <c r="I96" s="49"/>
      <c r="J96" s="49"/>
      <c r="K96" s="49"/>
      <c r="L96" s="49"/>
      <c r="M96" s="49"/>
      <c r="N96" s="12"/>
      <c r="O96" s="12"/>
      <c r="P96" s="12"/>
      <c r="Q96" s="12"/>
      <c r="R96" s="12"/>
      <c r="U96" s="50"/>
    </row>
    <row r="97" spans="1:21" x14ac:dyDescent="0.2">
      <c r="A97" s="83"/>
      <c r="B97" s="15"/>
      <c r="C97" s="15"/>
      <c r="D97" s="48"/>
      <c r="E97" s="48"/>
      <c r="F97" s="17"/>
      <c r="G97" s="48"/>
      <c r="H97" s="49"/>
      <c r="I97" s="49"/>
      <c r="J97" s="49"/>
      <c r="K97" s="49"/>
      <c r="L97" s="49"/>
      <c r="M97" s="49"/>
      <c r="N97" s="12"/>
      <c r="O97" s="12"/>
      <c r="P97" s="12"/>
      <c r="Q97" s="12"/>
      <c r="R97" s="12"/>
      <c r="U97" s="50"/>
    </row>
    <row r="98" spans="1:21" ht="15.6" x14ac:dyDescent="0.3">
      <c r="A98" s="80"/>
      <c r="B98" s="15"/>
      <c r="C98" s="15"/>
      <c r="D98" s="52"/>
      <c r="E98" s="48"/>
      <c r="F98" s="17"/>
      <c r="G98" s="48"/>
      <c r="H98" s="53"/>
      <c r="I98" s="53"/>
      <c r="J98" s="53"/>
      <c r="K98" s="53"/>
      <c r="L98" s="53"/>
      <c r="M98" s="53"/>
      <c r="U98" s="50"/>
    </row>
    <row r="99" spans="1:21" x14ac:dyDescent="0.25">
      <c r="A99" s="81"/>
      <c r="B99" s="54"/>
      <c r="C99" s="54"/>
      <c r="D99" s="48"/>
      <c r="E99" s="48"/>
      <c r="F99" s="17"/>
      <c r="G99" s="48"/>
      <c r="H99" s="53"/>
      <c r="I99" s="53"/>
      <c r="J99" s="53"/>
      <c r="K99" s="53"/>
      <c r="L99" s="53"/>
      <c r="M99" s="53"/>
      <c r="U99" s="50"/>
    </row>
    <row r="100" spans="1:21" x14ac:dyDescent="0.25">
      <c r="A100" s="81"/>
      <c r="B100" s="47"/>
      <c r="C100" s="47"/>
      <c r="D100" s="48"/>
      <c r="E100" s="48"/>
      <c r="F100" s="17"/>
      <c r="G100" s="48"/>
      <c r="H100" s="53"/>
      <c r="I100" s="53"/>
      <c r="J100" s="53"/>
      <c r="K100" s="53"/>
      <c r="L100" s="53"/>
      <c r="M100" s="53"/>
      <c r="U100" s="50"/>
    </row>
    <row r="101" spans="1:21" x14ac:dyDescent="0.25">
      <c r="A101" s="81"/>
      <c r="B101" s="42"/>
      <c r="C101" s="42"/>
      <c r="D101" s="48"/>
      <c r="E101" s="48"/>
      <c r="F101" s="17"/>
      <c r="G101" s="48"/>
      <c r="H101" s="53"/>
      <c r="I101" s="53"/>
      <c r="J101" s="53"/>
      <c r="K101" s="53"/>
      <c r="L101" s="53"/>
      <c r="M101" s="53"/>
      <c r="U101" s="50"/>
    </row>
    <row r="102" spans="1:21" x14ac:dyDescent="0.25">
      <c r="A102" s="81"/>
      <c r="B102" s="54"/>
      <c r="C102" s="54"/>
      <c r="D102" s="48"/>
      <c r="E102" s="48"/>
      <c r="F102" s="17"/>
      <c r="G102" s="48"/>
      <c r="H102" s="53"/>
      <c r="I102" s="53"/>
      <c r="J102" s="53"/>
      <c r="K102" s="53"/>
      <c r="L102" s="53"/>
      <c r="M102" s="53"/>
      <c r="U102" s="50"/>
    </row>
    <row r="103" spans="1:21" x14ac:dyDescent="0.25">
      <c r="A103" s="81"/>
      <c r="B103" s="42"/>
      <c r="C103" s="42"/>
      <c r="D103" s="48"/>
      <c r="E103" s="48"/>
      <c r="F103" s="17"/>
      <c r="G103" s="48"/>
      <c r="H103" s="53"/>
      <c r="I103" s="53"/>
      <c r="J103" s="53"/>
      <c r="K103" s="53"/>
      <c r="L103" s="53"/>
      <c r="M103" s="53"/>
      <c r="U103" s="50"/>
    </row>
    <row r="104" spans="1:21" x14ac:dyDescent="0.25">
      <c r="A104" s="81"/>
      <c r="B104" s="42"/>
      <c r="C104" s="42"/>
      <c r="D104" s="48"/>
      <c r="E104" s="48"/>
      <c r="F104" s="17"/>
      <c r="G104" s="48"/>
      <c r="H104" s="53"/>
      <c r="I104" s="53"/>
      <c r="J104" s="53"/>
      <c r="K104" s="53"/>
      <c r="L104" s="53"/>
      <c r="M104" s="53"/>
      <c r="U104" s="50"/>
    </row>
    <row r="105" spans="1:21" x14ac:dyDescent="0.25">
      <c r="A105" s="81"/>
      <c r="B105" s="55"/>
      <c r="C105" s="55"/>
      <c r="D105" s="48"/>
      <c r="E105" s="48"/>
      <c r="F105" s="17"/>
      <c r="G105" s="48"/>
      <c r="H105" s="53"/>
      <c r="I105" s="53"/>
      <c r="J105" s="53"/>
      <c r="K105" s="53"/>
      <c r="L105" s="53"/>
      <c r="M105" s="53"/>
      <c r="U105" s="50"/>
    </row>
    <row r="106" spans="1:21" x14ac:dyDescent="0.25">
      <c r="A106" s="81"/>
      <c r="B106" s="47"/>
      <c r="C106" s="47"/>
      <c r="D106" s="48"/>
      <c r="E106" s="48"/>
      <c r="F106" s="17"/>
      <c r="G106" s="48"/>
      <c r="H106" s="53"/>
      <c r="I106" s="53"/>
      <c r="J106" s="53"/>
      <c r="K106" s="53"/>
      <c r="L106" s="53"/>
      <c r="M106" s="53"/>
      <c r="U106" s="50"/>
    </row>
    <row r="107" spans="1:21" x14ac:dyDescent="0.25">
      <c r="A107" s="81"/>
      <c r="B107" s="42"/>
      <c r="C107" s="42"/>
      <c r="D107" s="48"/>
      <c r="E107" s="48"/>
      <c r="F107" s="17"/>
      <c r="G107" s="48"/>
      <c r="H107" s="53"/>
      <c r="I107" s="53"/>
      <c r="J107" s="53"/>
      <c r="K107" s="53"/>
      <c r="L107" s="53"/>
      <c r="M107" s="53"/>
      <c r="U107" s="50"/>
    </row>
    <row r="108" spans="1:21" x14ac:dyDescent="0.2">
      <c r="A108" s="83"/>
      <c r="B108" s="15"/>
      <c r="C108" s="15"/>
      <c r="D108" s="48"/>
      <c r="E108" s="48"/>
      <c r="F108" s="17"/>
      <c r="G108" s="48"/>
      <c r="H108" s="53"/>
      <c r="I108" s="53"/>
      <c r="J108" s="53"/>
      <c r="K108" s="53"/>
      <c r="L108" s="53"/>
      <c r="M108" s="53"/>
      <c r="U108" s="50"/>
    </row>
    <row r="109" spans="1:21" ht="15.6" x14ac:dyDescent="0.2">
      <c r="A109" s="82"/>
      <c r="B109" s="15"/>
      <c r="C109" s="15"/>
      <c r="D109" s="52"/>
      <c r="E109" s="48"/>
      <c r="F109" s="17"/>
      <c r="G109" s="48"/>
      <c r="H109" s="53"/>
      <c r="I109" s="53"/>
      <c r="J109" s="53"/>
      <c r="K109" s="53"/>
      <c r="L109" s="53"/>
      <c r="M109" s="53"/>
      <c r="U109" s="50"/>
    </row>
    <row r="110" spans="1:21" x14ac:dyDescent="0.2">
      <c r="A110" s="83"/>
      <c r="B110" s="15"/>
      <c r="C110" s="15"/>
      <c r="D110" s="48"/>
      <c r="E110" s="48"/>
      <c r="F110" s="17"/>
      <c r="G110" s="48"/>
      <c r="H110" s="53"/>
      <c r="I110" s="53"/>
      <c r="J110" s="53"/>
      <c r="K110" s="53"/>
      <c r="L110" s="53"/>
      <c r="M110" s="53"/>
    </row>
    <row r="111" spans="1:21" x14ac:dyDescent="0.2">
      <c r="A111" s="83"/>
      <c r="B111" s="15"/>
      <c r="C111" s="15"/>
      <c r="D111" s="48"/>
      <c r="E111" s="48"/>
      <c r="F111" s="17"/>
      <c r="G111" s="48"/>
      <c r="H111" s="53"/>
      <c r="I111" s="53"/>
      <c r="J111" s="53"/>
      <c r="K111" s="53"/>
      <c r="L111" s="53"/>
      <c r="M111" s="53"/>
    </row>
    <row r="112" spans="1:21" x14ac:dyDescent="0.25">
      <c r="A112" s="83"/>
      <c r="B112" s="15"/>
      <c r="C112" s="15"/>
      <c r="D112" s="56"/>
      <c r="E112" s="48"/>
      <c r="F112" s="17"/>
      <c r="G112" s="48"/>
      <c r="H112" s="53"/>
      <c r="I112" s="53"/>
      <c r="J112" s="53"/>
      <c r="K112" s="53"/>
      <c r="L112" s="53"/>
      <c r="M112" s="53"/>
    </row>
    <row r="113" spans="1:13" x14ac:dyDescent="0.2">
      <c r="A113" s="83"/>
      <c r="B113" s="57"/>
      <c r="C113" s="57"/>
      <c r="D113" s="48"/>
      <c r="E113" s="48"/>
      <c r="F113" s="17"/>
      <c r="G113" s="48"/>
      <c r="H113" s="53"/>
      <c r="I113" s="53"/>
      <c r="J113" s="53"/>
      <c r="K113" s="53"/>
      <c r="L113" s="53"/>
      <c r="M113" s="53"/>
    </row>
    <row r="114" spans="1:13" x14ac:dyDescent="0.25">
      <c r="A114" s="81"/>
      <c r="B114" s="42"/>
      <c r="C114" s="42"/>
      <c r="D114" s="48"/>
      <c r="E114" s="48"/>
      <c r="F114" s="17"/>
      <c r="G114" s="48"/>
      <c r="H114" s="53"/>
      <c r="I114" s="53"/>
      <c r="J114" s="53"/>
      <c r="K114" s="53"/>
      <c r="L114" s="53"/>
      <c r="M114" s="53"/>
    </row>
    <row r="115" spans="1:13" x14ac:dyDescent="0.25">
      <c r="A115" s="81"/>
      <c r="B115" s="42"/>
      <c r="C115" s="42"/>
      <c r="D115" s="48"/>
      <c r="E115" s="48"/>
      <c r="F115" s="17"/>
      <c r="G115" s="48"/>
      <c r="H115" s="53"/>
      <c r="I115" s="53"/>
      <c r="J115" s="53"/>
      <c r="K115" s="53"/>
      <c r="L115" s="53"/>
      <c r="M115" s="53"/>
    </row>
    <row r="116" spans="1:13" x14ac:dyDescent="0.2">
      <c r="A116" s="83"/>
      <c r="B116" s="15"/>
      <c r="C116" s="15"/>
      <c r="D116" s="48"/>
      <c r="E116" s="48"/>
      <c r="F116" s="17"/>
      <c r="G116" s="48"/>
      <c r="H116" s="53"/>
      <c r="I116" s="53"/>
      <c r="J116" s="53"/>
      <c r="K116" s="53"/>
      <c r="L116" s="53"/>
      <c r="M116" s="53"/>
    </row>
    <row r="117" spans="1:13" x14ac:dyDescent="0.25">
      <c r="A117" s="83"/>
      <c r="B117" s="42"/>
      <c r="C117" s="42"/>
      <c r="D117" s="48"/>
      <c r="E117" s="48"/>
      <c r="F117" s="17"/>
      <c r="G117" s="48"/>
      <c r="H117" s="53"/>
      <c r="I117" s="53"/>
      <c r="J117" s="53"/>
      <c r="K117" s="53"/>
      <c r="L117" s="53"/>
      <c r="M117" s="53"/>
    </row>
    <row r="118" spans="1:13" x14ac:dyDescent="0.25">
      <c r="A118" s="81"/>
      <c r="B118" s="54"/>
      <c r="C118" s="54"/>
      <c r="D118" s="48"/>
      <c r="E118" s="48"/>
      <c r="F118" s="17"/>
      <c r="G118" s="48"/>
      <c r="H118" s="53"/>
      <c r="I118" s="53"/>
      <c r="J118" s="53"/>
      <c r="K118" s="53"/>
      <c r="L118" s="53"/>
      <c r="M118" s="53"/>
    </row>
    <row r="119" spans="1:13" x14ac:dyDescent="0.25">
      <c r="A119" s="81"/>
      <c r="B119" s="15"/>
      <c r="C119" s="15"/>
      <c r="D119" s="56"/>
      <c r="E119" s="48"/>
      <c r="F119" s="17"/>
      <c r="G119" s="48"/>
      <c r="H119" s="53"/>
      <c r="I119" s="53"/>
      <c r="J119" s="53"/>
      <c r="K119" s="53"/>
      <c r="L119" s="53"/>
      <c r="M119" s="53"/>
    </row>
    <row r="120" spans="1:13" x14ac:dyDescent="0.25">
      <c r="A120" s="81"/>
      <c r="B120" s="54"/>
      <c r="C120" s="54"/>
      <c r="D120" s="48"/>
      <c r="E120" s="48"/>
      <c r="F120" s="17"/>
      <c r="G120" s="48"/>
      <c r="H120" s="53"/>
      <c r="I120" s="53"/>
      <c r="J120" s="53"/>
      <c r="K120" s="53"/>
      <c r="L120" s="53"/>
      <c r="M120" s="53"/>
    </row>
    <row r="121" spans="1:13" x14ac:dyDescent="0.25">
      <c r="A121" s="81"/>
      <c r="B121" s="15"/>
      <c r="C121" s="15"/>
      <c r="D121" s="58"/>
      <c r="E121" s="48"/>
      <c r="F121" s="17"/>
      <c r="G121" s="48"/>
      <c r="H121" s="53"/>
      <c r="I121" s="53"/>
      <c r="J121" s="53"/>
      <c r="K121" s="53"/>
      <c r="L121" s="53"/>
      <c r="M121" s="53"/>
    </row>
    <row r="122" spans="1:13" x14ac:dyDescent="0.25">
      <c r="A122" s="84"/>
      <c r="B122" s="59"/>
      <c r="C122" s="59"/>
      <c r="D122" s="48"/>
      <c r="E122" s="48"/>
      <c r="F122" s="17"/>
      <c r="G122" s="48"/>
      <c r="H122" s="53"/>
      <c r="I122" s="53"/>
      <c r="J122" s="53"/>
      <c r="K122" s="53"/>
      <c r="L122" s="53"/>
      <c r="M122" s="53"/>
    </row>
    <row r="123" spans="1:13" x14ac:dyDescent="0.25">
      <c r="A123" s="81"/>
      <c r="B123" s="15"/>
      <c r="C123" s="15"/>
      <c r="D123" s="16"/>
      <c r="E123" s="48"/>
      <c r="F123" s="17"/>
      <c r="G123" s="48"/>
      <c r="H123" s="53"/>
      <c r="I123" s="53"/>
      <c r="J123" s="53"/>
      <c r="K123" s="53"/>
      <c r="L123" s="53"/>
      <c r="M123" s="53"/>
    </row>
    <row r="124" spans="1:13" x14ac:dyDescent="0.25">
      <c r="A124" s="81"/>
      <c r="B124" s="47"/>
      <c r="C124" s="47"/>
      <c r="D124" s="48"/>
      <c r="E124" s="48"/>
      <c r="F124" s="17"/>
      <c r="G124" s="48"/>
      <c r="H124" s="53"/>
      <c r="I124" s="53"/>
      <c r="J124" s="53"/>
      <c r="K124" s="53"/>
      <c r="L124" s="53"/>
      <c r="M124" s="53"/>
    </row>
    <row r="125" spans="1:13" x14ac:dyDescent="0.25">
      <c r="A125" s="81"/>
      <c r="B125" s="47"/>
      <c r="C125" s="47"/>
      <c r="D125" s="48"/>
      <c r="E125" s="48"/>
      <c r="F125" s="17"/>
      <c r="G125" s="48"/>
      <c r="H125" s="53"/>
      <c r="I125" s="53"/>
      <c r="J125" s="53"/>
      <c r="K125" s="53"/>
      <c r="L125" s="53"/>
      <c r="M125" s="53"/>
    </row>
    <row r="126" spans="1:13" x14ac:dyDescent="0.2">
      <c r="A126" s="83"/>
      <c r="B126" s="15"/>
      <c r="C126" s="15"/>
      <c r="D126" s="48"/>
      <c r="E126" s="48"/>
      <c r="F126" s="17"/>
      <c r="G126" s="48"/>
      <c r="H126" s="53"/>
      <c r="I126" s="53"/>
      <c r="J126" s="53"/>
      <c r="K126" s="53"/>
      <c r="L126" s="53"/>
      <c r="M126" s="53"/>
    </row>
    <row r="127" spans="1:13" x14ac:dyDescent="0.2">
      <c r="A127" s="83"/>
      <c r="B127" s="15"/>
      <c r="C127" s="15"/>
      <c r="D127" s="48"/>
      <c r="E127" s="48"/>
      <c r="F127" s="17"/>
      <c r="G127" s="48"/>
      <c r="H127" s="53"/>
      <c r="I127" s="53"/>
      <c r="J127" s="53"/>
      <c r="K127" s="53"/>
      <c r="L127" s="53"/>
      <c r="M127" s="53"/>
    </row>
    <row r="128" spans="1:13" x14ac:dyDescent="0.2">
      <c r="A128" s="83"/>
      <c r="B128" s="15"/>
      <c r="C128" s="15"/>
      <c r="D128" s="48"/>
      <c r="E128" s="48"/>
      <c r="F128" s="17"/>
      <c r="G128" s="48"/>
      <c r="H128" s="53"/>
      <c r="I128" s="53"/>
      <c r="J128" s="53"/>
      <c r="K128" s="53"/>
      <c r="L128" s="53"/>
      <c r="M128" s="53"/>
    </row>
    <row r="129" spans="1:13" x14ac:dyDescent="0.2">
      <c r="A129" s="83"/>
      <c r="B129" s="15"/>
      <c r="C129" s="15"/>
      <c r="D129" s="48"/>
      <c r="E129" s="48"/>
      <c r="F129" s="17"/>
      <c r="G129" s="48"/>
      <c r="H129" s="53"/>
      <c r="I129" s="53"/>
      <c r="J129" s="53"/>
      <c r="K129" s="53"/>
      <c r="L129" s="53"/>
      <c r="M129" s="53"/>
    </row>
    <row r="130" spans="1:13" x14ac:dyDescent="0.2">
      <c r="A130" s="83"/>
      <c r="B130" s="15"/>
      <c r="C130" s="15"/>
      <c r="D130" s="48"/>
      <c r="E130" s="48"/>
      <c r="F130" s="17"/>
      <c r="G130" s="48"/>
      <c r="H130" s="53"/>
      <c r="I130" s="53"/>
      <c r="J130" s="53"/>
      <c r="K130" s="53"/>
      <c r="L130" s="53"/>
      <c r="M130" s="53"/>
    </row>
    <row r="131" spans="1:13" x14ac:dyDescent="0.2">
      <c r="A131" s="83"/>
      <c r="B131" s="15"/>
      <c r="C131" s="15"/>
      <c r="D131" s="48"/>
      <c r="E131" s="48"/>
      <c r="F131" s="17"/>
      <c r="G131" s="48"/>
      <c r="H131" s="53"/>
      <c r="I131" s="53"/>
      <c r="J131" s="53"/>
      <c r="K131" s="53"/>
      <c r="L131" s="53"/>
      <c r="M131" s="53"/>
    </row>
    <row r="132" spans="1:13" x14ac:dyDescent="0.2">
      <c r="A132" s="83"/>
      <c r="B132" s="15"/>
      <c r="C132" s="15"/>
      <c r="D132" s="48"/>
      <c r="E132" s="48"/>
      <c r="F132" s="17"/>
      <c r="G132" s="48"/>
      <c r="H132" s="53"/>
      <c r="I132" s="53"/>
      <c r="J132" s="53"/>
      <c r="K132" s="53"/>
      <c r="L132" s="53"/>
      <c r="M132" s="53"/>
    </row>
    <row r="133" spans="1:13" x14ac:dyDescent="0.2">
      <c r="A133" s="83"/>
      <c r="B133" s="15"/>
      <c r="C133" s="15"/>
      <c r="D133" s="48"/>
      <c r="E133" s="48"/>
      <c r="F133" s="17"/>
      <c r="G133" s="48"/>
      <c r="H133" s="53"/>
      <c r="I133" s="53"/>
      <c r="J133" s="53"/>
      <c r="K133" s="53"/>
      <c r="L133" s="53"/>
      <c r="M133" s="53"/>
    </row>
    <row r="134" spans="1:13" x14ac:dyDescent="0.2">
      <c r="A134" s="83"/>
      <c r="B134" s="15"/>
      <c r="C134" s="15"/>
      <c r="D134" s="48"/>
      <c r="E134" s="48"/>
      <c r="F134" s="17"/>
      <c r="G134" s="48"/>
      <c r="H134" s="53"/>
      <c r="I134" s="53"/>
      <c r="J134" s="53"/>
      <c r="K134" s="53"/>
      <c r="L134" s="53"/>
      <c r="M134" s="53"/>
    </row>
    <row r="135" spans="1:13" x14ac:dyDescent="0.2">
      <c r="A135" s="83"/>
      <c r="B135" s="15"/>
      <c r="C135" s="15"/>
      <c r="D135" s="48"/>
      <c r="E135" s="48"/>
      <c r="F135" s="17"/>
      <c r="G135" s="48"/>
      <c r="H135" s="53"/>
      <c r="I135" s="53"/>
      <c r="J135" s="53"/>
      <c r="K135" s="53"/>
      <c r="L135" s="53"/>
      <c r="M135" s="53"/>
    </row>
    <row r="136" spans="1:13" x14ac:dyDescent="0.2">
      <c r="A136" s="83"/>
      <c r="B136" s="15"/>
      <c r="C136" s="15"/>
      <c r="D136" s="48"/>
      <c r="E136" s="48"/>
      <c r="F136" s="17"/>
      <c r="G136" s="48"/>
      <c r="H136" s="53"/>
      <c r="I136" s="53"/>
      <c r="J136" s="53"/>
      <c r="K136" s="53"/>
      <c r="L136" s="53"/>
      <c r="M136" s="53"/>
    </row>
    <row r="137" spans="1:13" x14ac:dyDescent="0.2">
      <c r="A137" s="83"/>
      <c r="B137" s="15"/>
      <c r="C137" s="15"/>
      <c r="D137" s="48"/>
      <c r="E137" s="48"/>
      <c r="F137" s="17"/>
      <c r="G137" s="48"/>
      <c r="H137" s="53"/>
      <c r="I137" s="53"/>
      <c r="J137" s="53"/>
      <c r="K137" s="53"/>
      <c r="L137" s="53"/>
      <c r="M137" s="53"/>
    </row>
    <row r="138" spans="1:13" x14ac:dyDescent="0.2">
      <c r="A138" s="83"/>
      <c r="B138" s="15"/>
      <c r="C138" s="15"/>
      <c r="D138" s="48"/>
      <c r="E138" s="48"/>
      <c r="F138" s="17"/>
      <c r="G138" s="48"/>
      <c r="H138" s="53"/>
      <c r="I138" s="53"/>
      <c r="J138" s="53"/>
      <c r="K138" s="53"/>
      <c r="L138" s="53"/>
      <c r="M138" s="53"/>
    </row>
    <row r="139" spans="1:13" x14ac:dyDescent="0.2">
      <c r="A139" s="83"/>
      <c r="B139" s="15"/>
      <c r="C139" s="15"/>
      <c r="D139" s="48"/>
      <c r="E139" s="48"/>
      <c r="F139" s="17"/>
      <c r="G139" s="48"/>
      <c r="H139" s="53"/>
      <c r="I139" s="53"/>
      <c r="J139" s="53"/>
      <c r="K139" s="53"/>
      <c r="L139" s="53"/>
      <c r="M139" s="53"/>
    </row>
    <row r="140" spans="1:13" x14ac:dyDescent="0.2">
      <c r="A140" s="83"/>
      <c r="B140" s="15"/>
      <c r="C140" s="15"/>
      <c r="D140" s="48"/>
      <c r="E140" s="48"/>
      <c r="F140" s="17"/>
      <c r="G140" s="48"/>
      <c r="H140" s="53"/>
      <c r="I140" s="53"/>
      <c r="J140" s="53"/>
      <c r="K140" s="53"/>
      <c r="L140" s="53"/>
      <c r="M140" s="53"/>
    </row>
    <row r="141" spans="1:13" x14ac:dyDescent="0.2">
      <c r="A141" s="83"/>
      <c r="B141" s="15"/>
      <c r="C141" s="15"/>
      <c r="D141" s="48"/>
      <c r="E141" s="48"/>
      <c r="F141" s="17"/>
      <c r="G141" s="48"/>
      <c r="H141" s="53"/>
      <c r="I141" s="53"/>
      <c r="J141" s="53"/>
      <c r="K141" s="53"/>
      <c r="L141" s="53"/>
      <c r="M141" s="53"/>
    </row>
    <row r="142" spans="1:13" x14ac:dyDescent="0.2">
      <c r="A142" s="83"/>
      <c r="B142" s="15"/>
      <c r="C142" s="15"/>
      <c r="D142" s="48"/>
      <c r="E142" s="48"/>
      <c r="F142" s="17"/>
      <c r="G142" s="48"/>
      <c r="H142" s="53"/>
      <c r="I142" s="53"/>
      <c r="J142" s="53"/>
      <c r="K142" s="53"/>
      <c r="L142" s="53"/>
      <c r="M142" s="53"/>
    </row>
    <row r="143" spans="1:13" x14ac:dyDescent="0.2">
      <c r="A143" s="83"/>
      <c r="B143" s="15"/>
      <c r="C143" s="15"/>
      <c r="D143" s="48"/>
      <c r="E143" s="48"/>
      <c r="F143" s="17"/>
      <c r="G143" s="48"/>
      <c r="H143" s="53"/>
      <c r="I143" s="53"/>
      <c r="J143" s="53"/>
      <c r="K143" s="53"/>
      <c r="L143" s="53"/>
      <c r="M143" s="53"/>
    </row>
    <row r="144" spans="1:13" x14ac:dyDescent="0.2">
      <c r="A144" s="83"/>
      <c r="B144" s="15"/>
      <c r="C144" s="15"/>
      <c r="D144" s="48"/>
      <c r="E144" s="48"/>
      <c r="F144" s="17"/>
      <c r="G144" s="48"/>
      <c r="H144" s="53"/>
      <c r="I144" s="53"/>
      <c r="J144" s="53"/>
      <c r="K144" s="53"/>
      <c r="L144" s="53"/>
      <c r="M144" s="53"/>
    </row>
    <row r="145" spans="1:13" x14ac:dyDescent="0.2">
      <c r="A145" s="83"/>
      <c r="B145" s="15"/>
      <c r="C145" s="15"/>
      <c r="D145" s="48"/>
      <c r="E145" s="48"/>
      <c r="F145" s="17"/>
      <c r="G145" s="48"/>
      <c r="H145" s="53"/>
      <c r="I145" s="53"/>
      <c r="J145" s="53"/>
      <c r="K145" s="53"/>
      <c r="L145" s="53"/>
      <c r="M145" s="53"/>
    </row>
    <row r="146" spans="1:13" x14ac:dyDescent="0.2">
      <c r="A146" s="83"/>
      <c r="B146" s="15"/>
      <c r="C146" s="15"/>
      <c r="D146" s="48"/>
      <c r="E146" s="48"/>
      <c r="F146" s="17"/>
      <c r="G146" s="48"/>
      <c r="H146" s="53"/>
      <c r="I146" s="53"/>
      <c r="J146" s="53"/>
      <c r="K146" s="53"/>
      <c r="L146" s="53"/>
      <c r="M146" s="53"/>
    </row>
    <row r="147" spans="1:13" x14ac:dyDescent="0.2">
      <c r="A147" s="83"/>
      <c r="B147" s="15"/>
      <c r="C147" s="15"/>
      <c r="D147" s="48"/>
      <c r="E147" s="48"/>
      <c r="F147" s="17"/>
      <c r="G147" s="48"/>
      <c r="H147" s="53"/>
      <c r="I147" s="53"/>
      <c r="J147" s="53"/>
      <c r="K147" s="53"/>
      <c r="L147" s="53"/>
      <c r="M147" s="53"/>
    </row>
    <row r="148" spans="1:13" x14ac:dyDescent="0.2">
      <c r="A148" s="83"/>
      <c r="B148" s="15"/>
      <c r="C148" s="15"/>
      <c r="D148" s="48"/>
      <c r="E148" s="48"/>
      <c r="F148" s="17"/>
      <c r="G148" s="48"/>
      <c r="H148" s="53"/>
      <c r="I148" s="53"/>
      <c r="J148" s="53"/>
      <c r="K148" s="53"/>
      <c r="L148" s="53"/>
      <c r="M148" s="53"/>
    </row>
    <row r="149" spans="1:13" x14ac:dyDescent="0.2">
      <c r="A149" s="83"/>
      <c r="B149" s="15"/>
      <c r="C149" s="15"/>
      <c r="D149" s="48"/>
      <c r="E149" s="48"/>
      <c r="F149" s="17"/>
      <c r="G149" s="48"/>
      <c r="H149" s="53"/>
      <c r="I149" s="53"/>
      <c r="J149" s="53"/>
      <c r="K149" s="53"/>
      <c r="L149" s="53"/>
      <c r="M149" s="53"/>
    </row>
    <row r="150" spans="1:13" x14ac:dyDescent="0.2">
      <c r="A150" s="83"/>
      <c r="B150" s="15"/>
      <c r="C150" s="15"/>
      <c r="D150" s="48"/>
      <c r="E150" s="48"/>
      <c r="F150" s="17"/>
      <c r="G150" s="48"/>
      <c r="H150" s="53"/>
      <c r="I150" s="53"/>
      <c r="J150" s="53"/>
      <c r="K150" s="53"/>
      <c r="L150" s="53"/>
      <c r="M150" s="53"/>
    </row>
    <row r="151" spans="1:13" x14ac:dyDescent="0.2">
      <c r="A151" s="83"/>
      <c r="B151" s="15"/>
      <c r="C151" s="15"/>
      <c r="D151" s="48"/>
      <c r="E151" s="48"/>
      <c r="F151" s="17"/>
      <c r="G151" s="48"/>
      <c r="H151" s="53"/>
      <c r="I151" s="53"/>
      <c r="J151" s="53"/>
      <c r="K151" s="53"/>
      <c r="L151" s="53"/>
      <c r="M151" s="53"/>
    </row>
    <row r="152" spans="1:13" x14ac:dyDescent="0.2">
      <c r="A152" s="83"/>
      <c r="B152" s="15"/>
      <c r="C152" s="15"/>
      <c r="D152" s="48"/>
      <c r="E152" s="48"/>
      <c r="F152" s="17"/>
      <c r="G152" s="48"/>
      <c r="H152" s="53"/>
      <c r="I152" s="53"/>
      <c r="J152" s="53"/>
      <c r="K152" s="53"/>
      <c r="L152" s="53"/>
      <c r="M152" s="53"/>
    </row>
    <row r="153" spans="1:13" x14ac:dyDescent="0.2">
      <c r="A153" s="83"/>
      <c r="B153" s="15"/>
      <c r="C153" s="15"/>
      <c r="D153" s="48"/>
      <c r="E153" s="48"/>
      <c r="F153" s="17"/>
      <c r="G153" s="48"/>
      <c r="H153" s="53"/>
      <c r="I153" s="53"/>
      <c r="J153" s="53"/>
      <c r="K153" s="53"/>
      <c r="L153" s="53"/>
      <c r="M153" s="53"/>
    </row>
    <row r="154" spans="1:13" x14ac:dyDescent="0.2">
      <c r="A154" s="83"/>
      <c r="B154" s="15"/>
      <c r="C154" s="15"/>
      <c r="D154" s="48"/>
      <c r="E154" s="48"/>
      <c r="F154" s="17"/>
      <c r="G154" s="48"/>
      <c r="H154" s="53"/>
      <c r="I154" s="53"/>
      <c r="J154" s="53"/>
      <c r="K154" s="53"/>
      <c r="L154" s="53"/>
      <c r="M154" s="53"/>
    </row>
    <row r="155" spans="1:13" x14ac:dyDescent="0.2">
      <c r="A155" s="83"/>
      <c r="B155" s="15"/>
      <c r="C155" s="15"/>
      <c r="D155" s="48"/>
      <c r="E155" s="48"/>
      <c r="F155" s="17"/>
      <c r="G155" s="48"/>
      <c r="H155" s="53"/>
      <c r="I155" s="53"/>
      <c r="J155" s="53"/>
      <c r="K155" s="53"/>
      <c r="L155" s="53"/>
      <c r="M155" s="53"/>
    </row>
    <row r="156" spans="1:13" x14ac:dyDescent="0.2">
      <c r="A156" s="83"/>
      <c r="B156" s="15"/>
      <c r="C156" s="15"/>
      <c r="D156" s="48"/>
      <c r="E156" s="48"/>
      <c r="F156" s="17"/>
      <c r="G156" s="48"/>
      <c r="H156" s="53"/>
      <c r="I156" s="53"/>
      <c r="J156" s="53"/>
      <c r="K156" s="53"/>
      <c r="L156" s="53"/>
      <c r="M156" s="53"/>
    </row>
    <row r="157" spans="1:13" x14ac:dyDescent="0.2">
      <c r="A157" s="83"/>
      <c r="B157" s="15"/>
      <c r="C157" s="15"/>
      <c r="D157" s="48"/>
      <c r="E157" s="48"/>
      <c r="F157" s="17"/>
      <c r="G157" s="48"/>
      <c r="H157" s="53"/>
      <c r="I157" s="53"/>
      <c r="J157" s="53"/>
      <c r="K157" s="53"/>
      <c r="L157" s="53"/>
      <c r="M157" s="53"/>
    </row>
    <row r="158" spans="1:13" x14ac:dyDescent="0.2">
      <c r="A158" s="83"/>
      <c r="B158" s="15"/>
      <c r="C158" s="15"/>
      <c r="D158" s="48"/>
      <c r="E158" s="48"/>
      <c r="F158" s="17"/>
      <c r="G158" s="48"/>
      <c r="H158" s="53"/>
      <c r="I158" s="53"/>
      <c r="J158" s="53"/>
      <c r="K158" s="53"/>
      <c r="L158" s="53"/>
      <c r="M158" s="53"/>
    </row>
    <row r="159" spans="1:13" x14ac:dyDescent="0.2">
      <c r="A159" s="83"/>
      <c r="B159" s="15"/>
      <c r="C159" s="15"/>
      <c r="D159" s="48"/>
      <c r="E159" s="48"/>
      <c r="F159" s="17"/>
      <c r="G159" s="48"/>
      <c r="H159" s="53"/>
      <c r="I159" s="53"/>
      <c r="J159" s="53"/>
      <c r="K159" s="53"/>
      <c r="L159" s="53"/>
      <c r="M159" s="53"/>
    </row>
    <row r="160" spans="1:13" x14ac:dyDescent="0.2">
      <c r="A160" s="83"/>
      <c r="B160" s="15"/>
      <c r="C160" s="15"/>
      <c r="D160" s="48"/>
      <c r="E160" s="48"/>
      <c r="F160" s="17"/>
      <c r="G160" s="48"/>
      <c r="H160" s="53"/>
      <c r="I160" s="53"/>
      <c r="J160" s="53"/>
      <c r="K160" s="53"/>
      <c r="L160" s="53"/>
      <c r="M160" s="53"/>
    </row>
    <row r="161" spans="1:13" x14ac:dyDescent="0.2">
      <c r="A161" s="83"/>
      <c r="B161" s="15"/>
      <c r="C161" s="15"/>
      <c r="D161" s="48"/>
      <c r="E161" s="48"/>
      <c r="F161" s="17"/>
      <c r="G161" s="48"/>
      <c r="H161" s="53"/>
      <c r="I161" s="53"/>
      <c r="J161" s="53"/>
      <c r="K161" s="53"/>
      <c r="L161" s="53"/>
      <c r="M161" s="53"/>
    </row>
    <row r="162" spans="1:13" x14ac:dyDescent="0.2">
      <c r="A162" s="83"/>
      <c r="B162" s="15"/>
      <c r="C162" s="15"/>
      <c r="D162" s="48"/>
      <c r="E162" s="48"/>
      <c r="F162" s="17"/>
      <c r="G162" s="48"/>
      <c r="H162" s="53"/>
      <c r="I162" s="53"/>
      <c r="J162" s="53"/>
      <c r="K162" s="53"/>
      <c r="L162" s="53"/>
      <c r="M162" s="53"/>
    </row>
    <row r="163" spans="1:13" x14ac:dyDescent="0.2">
      <c r="A163" s="83"/>
      <c r="B163" s="15"/>
      <c r="C163" s="15"/>
      <c r="D163" s="48"/>
      <c r="E163" s="48"/>
      <c r="F163" s="17"/>
      <c r="G163" s="48"/>
      <c r="H163" s="53"/>
      <c r="I163" s="53"/>
      <c r="J163" s="53"/>
      <c r="K163" s="53"/>
      <c r="L163" s="53"/>
      <c r="M163" s="53"/>
    </row>
    <row r="164" spans="1:13" x14ac:dyDescent="0.2">
      <c r="A164" s="83"/>
      <c r="B164" s="15"/>
      <c r="C164" s="15"/>
      <c r="D164" s="48"/>
      <c r="E164" s="48"/>
      <c r="F164" s="17"/>
      <c r="G164" s="48"/>
      <c r="H164" s="53"/>
      <c r="I164" s="53"/>
      <c r="J164" s="53"/>
      <c r="K164" s="53"/>
      <c r="L164" s="53"/>
      <c r="M164" s="53"/>
    </row>
    <row r="165" spans="1:13" x14ac:dyDescent="0.2">
      <c r="A165" s="83"/>
      <c r="B165" s="15"/>
      <c r="C165" s="15"/>
      <c r="D165" s="48"/>
      <c r="E165" s="48"/>
      <c r="F165" s="17"/>
      <c r="G165" s="48"/>
      <c r="H165" s="53"/>
      <c r="I165" s="53"/>
      <c r="J165" s="53"/>
      <c r="K165" s="53"/>
      <c r="L165" s="53"/>
      <c r="M165" s="53"/>
    </row>
    <row r="166" spans="1:13" x14ac:dyDescent="0.2">
      <c r="A166" s="83"/>
      <c r="B166" s="15"/>
      <c r="C166" s="15"/>
      <c r="D166" s="48"/>
      <c r="E166" s="48"/>
      <c r="F166" s="17"/>
      <c r="G166" s="48"/>
      <c r="H166" s="53"/>
      <c r="I166" s="53"/>
      <c r="J166" s="53"/>
      <c r="K166" s="53"/>
      <c r="L166" s="53"/>
      <c r="M166" s="53"/>
    </row>
    <row r="167" spans="1:13" x14ac:dyDescent="0.2">
      <c r="A167" s="83"/>
      <c r="B167" s="15"/>
      <c r="C167" s="15"/>
      <c r="D167" s="48"/>
      <c r="E167" s="48"/>
      <c r="F167" s="17"/>
      <c r="G167" s="48"/>
      <c r="H167" s="53"/>
      <c r="I167" s="53"/>
      <c r="J167" s="53"/>
      <c r="K167" s="53"/>
      <c r="L167" s="53"/>
      <c r="M167" s="53"/>
    </row>
    <row r="168" spans="1:13" x14ac:dyDescent="0.2">
      <c r="A168" s="83"/>
      <c r="B168" s="15"/>
      <c r="C168" s="15"/>
      <c r="D168" s="48"/>
      <c r="E168" s="48"/>
      <c r="F168" s="17"/>
      <c r="G168" s="48"/>
      <c r="H168" s="53"/>
      <c r="I168" s="53"/>
      <c r="J168" s="53"/>
      <c r="K168" s="53"/>
      <c r="L168" s="53"/>
      <c r="M168" s="53"/>
    </row>
    <row r="169" spans="1:13" x14ac:dyDescent="0.2">
      <c r="A169" s="83"/>
      <c r="B169" s="15"/>
      <c r="C169" s="15"/>
      <c r="D169" s="48"/>
      <c r="E169" s="48"/>
      <c r="F169" s="17"/>
      <c r="G169" s="48"/>
      <c r="H169" s="53"/>
      <c r="I169" s="53"/>
      <c r="J169" s="53"/>
      <c r="K169" s="53"/>
      <c r="L169" s="53"/>
      <c r="M169" s="53"/>
    </row>
    <row r="170" spans="1:13" x14ac:dyDescent="0.2">
      <c r="A170" s="83"/>
      <c r="B170" s="15"/>
      <c r="C170" s="15"/>
      <c r="D170" s="48"/>
      <c r="E170" s="48"/>
      <c r="F170" s="17"/>
      <c r="G170" s="48"/>
      <c r="H170" s="53"/>
      <c r="I170" s="53"/>
      <c r="J170" s="53"/>
      <c r="K170" s="53"/>
      <c r="L170" s="53"/>
      <c r="M170" s="53"/>
    </row>
    <row r="171" spans="1:13" x14ac:dyDescent="0.2">
      <c r="A171" s="83"/>
      <c r="B171" s="15"/>
      <c r="C171" s="15"/>
      <c r="D171" s="48"/>
      <c r="E171" s="48"/>
      <c r="F171" s="17"/>
      <c r="G171" s="48"/>
      <c r="H171" s="53"/>
      <c r="I171" s="53"/>
      <c r="J171" s="53"/>
      <c r="K171" s="53"/>
      <c r="L171" s="53"/>
      <c r="M171" s="53"/>
    </row>
    <row r="172" spans="1:13" x14ac:dyDescent="0.2">
      <c r="A172" s="83"/>
      <c r="B172" s="15"/>
      <c r="C172" s="15"/>
      <c r="D172" s="48"/>
      <c r="E172" s="48"/>
      <c r="F172" s="17"/>
      <c r="G172" s="48"/>
      <c r="H172" s="53"/>
      <c r="I172" s="53"/>
      <c r="J172" s="53"/>
      <c r="K172" s="53"/>
      <c r="L172" s="53"/>
      <c r="M172" s="53"/>
    </row>
    <row r="173" spans="1:13" x14ac:dyDescent="0.2">
      <c r="A173" s="83"/>
      <c r="B173" s="15"/>
      <c r="C173" s="15"/>
      <c r="D173" s="48"/>
      <c r="E173" s="48"/>
      <c r="F173" s="17"/>
      <c r="G173" s="48"/>
      <c r="H173" s="53"/>
      <c r="I173" s="53"/>
      <c r="J173" s="53"/>
      <c r="K173" s="53"/>
      <c r="L173" s="53"/>
      <c r="M173" s="53"/>
    </row>
    <row r="174" spans="1:13" x14ac:dyDescent="0.2">
      <c r="A174" s="83"/>
      <c r="B174" s="15"/>
      <c r="C174" s="15"/>
      <c r="D174" s="48"/>
      <c r="E174" s="48"/>
      <c r="F174" s="17"/>
      <c r="G174" s="48"/>
      <c r="H174" s="53"/>
      <c r="I174" s="53"/>
      <c r="J174" s="53"/>
      <c r="K174" s="53"/>
      <c r="L174" s="53"/>
      <c r="M174" s="53"/>
    </row>
    <row r="175" spans="1:13" x14ac:dyDescent="0.2">
      <c r="A175" s="83"/>
      <c r="B175" s="15"/>
      <c r="C175" s="15"/>
      <c r="D175" s="48"/>
      <c r="E175" s="48"/>
      <c r="F175" s="17"/>
      <c r="G175" s="48"/>
      <c r="H175" s="53"/>
      <c r="I175" s="53"/>
      <c r="J175" s="53"/>
      <c r="K175" s="53"/>
      <c r="L175" s="53"/>
      <c r="M175" s="53"/>
    </row>
    <row r="176" spans="1:13" x14ac:dyDescent="0.2">
      <c r="A176" s="83"/>
      <c r="B176" s="15"/>
      <c r="C176" s="15"/>
      <c r="D176" s="48"/>
      <c r="E176" s="48"/>
      <c r="F176" s="17"/>
      <c r="G176" s="48"/>
      <c r="H176" s="53"/>
      <c r="I176" s="53"/>
      <c r="J176" s="53"/>
      <c r="K176" s="53"/>
      <c r="L176" s="53"/>
      <c r="M176" s="53"/>
    </row>
    <row r="177" spans="1:13" x14ac:dyDescent="0.2">
      <c r="A177" s="83"/>
      <c r="B177" s="15"/>
      <c r="C177" s="15"/>
      <c r="D177" s="48"/>
      <c r="E177" s="48"/>
      <c r="F177" s="17"/>
      <c r="G177" s="48"/>
      <c r="H177" s="53"/>
      <c r="I177" s="53"/>
      <c r="J177" s="53"/>
      <c r="K177" s="53"/>
      <c r="L177" s="53"/>
      <c r="M177" s="53"/>
    </row>
    <row r="178" spans="1:13" x14ac:dyDescent="0.2">
      <c r="A178" s="83"/>
      <c r="B178" s="15"/>
      <c r="C178" s="15"/>
      <c r="D178" s="48"/>
      <c r="E178" s="48"/>
      <c r="F178" s="17"/>
      <c r="G178" s="48"/>
      <c r="H178" s="53"/>
      <c r="I178" s="53"/>
      <c r="J178" s="53"/>
      <c r="K178" s="53"/>
      <c r="L178" s="53"/>
      <c r="M178" s="53"/>
    </row>
    <row r="179" spans="1:13" x14ac:dyDescent="0.2">
      <c r="A179" s="83"/>
      <c r="B179" s="15"/>
      <c r="C179" s="15"/>
      <c r="D179" s="48"/>
      <c r="E179" s="48"/>
      <c r="F179" s="17"/>
      <c r="G179" s="48"/>
      <c r="H179" s="53"/>
      <c r="I179" s="53"/>
      <c r="J179" s="53"/>
      <c r="K179" s="53"/>
      <c r="L179" s="53"/>
      <c r="M179" s="53"/>
    </row>
    <row r="180" spans="1:13" x14ac:dyDescent="0.2">
      <c r="A180" s="83"/>
      <c r="B180" s="15"/>
      <c r="C180" s="15"/>
      <c r="D180" s="48"/>
      <c r="E180" s="48"/>
      <c r="F180" s="17"/>
      <c r="G180" s="48"/>
      <c r="H180" s="53"/>
      <c r="I180" s="53"/>
      <c r="J180" s="53"/>
      <c r="K180" s="53"/>
      <c r="L180" s="53"/>
      <c r="M180" s="53"/>
    </row>
    <row r="181" spans="1:13" x14ac:dyDescent="0.2">
      <c r="A181" s="83"/>
      <c r="B181" s="15"/>
      <c r="C181" s="15"/>
      <c r="D181" s="48"/>
      <c r="E181" s="48"/>
      <c r="F181" s="17"/>
      <c r="G181" s="48"/>
      <c r="H181" s="53"/>
      <c r="I181" s="53"/>
      <c r="J181" s="53"/>
      <c r="K181" s="53"/>
      <c r="L181" s="53"/>
      <c r="M181" s="53"/>
    </row>
    <row r="182" spans="1:13" x14ac:dyDescent="0.2">
      <c r="A182" s="83"/>
      <c r="B182" s="15"/>
      <c r="C182" s="15"/>
      <c r="D182" s="48"/>
      <c r="E182" s="48"/>
      <c r="F182" s="17"/>
      <c r="G182" s="48"/>
      <c r="H182" s="53"/>
      <c r="I182" s="53"/>
      <c r="J182" s="53"/>
      <c r="K182" s="53"/>
      <c r="L182" s="53"/>
      <c r="M182" s="53"/>
    </row>
    <row r="183" spans="1:13" x14ac:dyDescent="0.2">
      <c r="A183" s="83"/>
      <c r="B183" s="15"/>
      <c r="C183" s="15"/>
      <c r="D183" s="48"/>
      <c r="E183" s="48"/>
      <c r="F183" s="17"/>
      <c r="G183" s="48"/>
      <c r="H183" s="53"/>
      <c r="I183" s="53"/>
      <c r="J183" s="53"/>
      <c r="K183" s="53"/>
      <c r="L183" s="53"/>
      <c r="M183" s="53"/>
    </row>
    <row r="184" spans="1:13" x14ac:dyDescent="0.2">
      <c r="A184" s="83"/>
      <c r="B184" s="15"/>
      <c r="C184" s="15"/>
      <c r="D184" s="48"/>
      <c r="E184" s="48"/>
      <c r="F184" s="17"/>
      <c r="G184" s="48"/>
      <c r="H184" s="53"/>
      <c r="I184" s="53"/>
      <c r="J184" s="53"/>
      <c r="K184" s="53"/>
      <c r="L184" s="53"/>
      <c r="M184" s="53"/>
    </row>
    <row r="185" spans="1:13" x14ac:dyDescent="0.2">
      <c r="A185" s="83"/>
      <c r="B185" s="15"/>
      <c r="C185" s="15"/>
      <c r="D185" s="48"/>
      <c r="E185" s="48"/>
      <c r="F185" s="17"/>
      <c r="G185" s="48"/>
      <c r="H185" s="53"/>
      <c r="I185" s="53"/>
      <c r="J185" s="53"/>
      <c r="K185" s="53"/>
      <c r="L185" s="53"/>
      <c r="M185" s="53"/>
    </row>
    <row r="186" spans="1:13" x14ac:dyDescent="0.2">
      <c r="A186" s="83"/>
      <c r="B186" s="15"/>
      <c r="C186" s="15"/>
      <c r="D186" s="48"/>
      <c r="E186" s="48"/>
      <c r="F186" s="17"/>
      <c r="G186" s="48"/>
      <c r="H186" s="53"/>
      <c r="I186" s="53"/>
      <c r="J186" s="53"/>
      <c r="K186" s="53"/>
      <c r="L186" s="53"/>
      <c r="M186" s="53"/>
    </row>
    <row r="187" spans="1:13" x14ac:dyDescent="0.2">
      <c r="A187" s="83"/>
      <c r="B187" s="15"/>
      <c r="C187" s="15"/>
      <c r="D187" s="48"/>
      <c r="E187" s="48"/>
      <c r="F187" s="17"/>
      <c r="G187" s="48"/>
      <c r="H187" s="53"/>
      <c r="I187" s="53"/>
      <c r="J187" s="53"/>
      <c r="K187" s="53"/>
      <c r="L187" s="53"/>
      <c r="M187" s="53"/>
    </row>
    <row r="188" spans="1:13" x14ac:dyDescent="0.2">
      <c r="A188" s="83"/>
      <c r="B188" s="15"/>
      <c r="C188" s="15"/>
      <c r="D188" s="48"/>
      <c r="E188" s="48"/>
      <c r="F188" s="17"/>
      <c r="G188" s="48"/>
      <c r="H188" s="53"/>
      <c r="I188" s="53"/>
      <c r="J188" s="53"/>
      <c r="K188" s="53"/>
      <c r="L188" s="53"/>
      <c r="M188" s="53"/>
    </row>
    <row r="189" spans="1:13" x14ac:dyDescent="0.2">
      <c r="A189" s="83"/>
      <c r="B189" s="15"/>
      <c r="C189" s="15"/>
      <c r="D189" s="48"/>
      <c r="E189" s="48"/>
      <c r="F189" s="17"/>
      <c r="G189" s="48"/>
      <c r="H189" s="53"/>
      <c r="I189" s="53"/>
      <c r="J189" s="53"/>
      <c r="K189" s="53"/>
      <c r="L189" s="53"/>
      <c r="M189" s="53"/>
    </row>
    <row r="190" spans="1:13" x14ac:dyDescent="0.2">
      <c r="A190" s="83"/>
      <c r="B190" s="15"/>
      <c r="C190" s="15"/>
      <c r="D190" s="48"/>
      <c r="E190" s="48"/>
      <c r="F190" s="17"/>
      <c r="G190" s="48"/>
      <c r="H190" s="53"/>
      <c r="I190" s="53"/>
      <c r="J190" s="53"/>
      <c r="K190" s="53"/>
      <c r="L190" s="53"/>
      <c r="M190" s="53"/>
    </row>
    <row r="191" spans="1:13" x14ac:dyDescent="0.2">
      <c r="A191" s="83"/>
      <c r="B191" s="15"/>
      <c r="C191" s="15"/>
      <c r="D191" s="48"/>
      <c r="E191" s="48"/>
      <c r="F191" s="17"/>
      <c r="G191" s="48"/>
      <c r="H191" s="53"/>
      <c r="I191" s="53"/>
      <c r="J191" s="53"/>
      <c r="K191" s="53"/>
      <c r="L191" s="53"/>
      <c r="M191" s="53"/>
    </row>
    <row r="192" spans="1:13" x14ac:dyDescent="0.2">
      <c r="A192" s="83"/>
      <c r="B192" s="15"/>
      <c r="C192" s="15"/>
      <c r="D192" s="48"/>
      <c r="E192" s="48"/>
      <c r="F192" s="17"/>
      <c r="G192" s="48"/>
      <c r="H192" s="53"/>
      <c r="I192" s="53"/>
      <c r="J192" s="53"/>
      <c r="K192" s="53"/>
      <c r="L192" s="53"/>
      <c r="M192" s="53"/>
    </row>
    <row r="193" spans="1:13" x14ac:dyDescent="0.2">
      <c r="A193" s="83"/>
      <c r="B193" s="15"/>
      <c r="C193" s="15"/>
      <c r="D193" s="48"/>
      <c r="E193" s="48"/>
      <c r="F193" s="17"/>
      <c r="G193" s="48"/>
      <c r="H193" s="53"/>
      <c r="I193" s="53"/>
      <c r="J193" s="53"/>
      <c r="K193" s="53"/>
      <c r="L193" s="53"/>
      <c r="M193" s="53"/>
    </row>
    <row r="194" spans="1:13" x14ac:dyDescent="0.2">
      <c r="A194" s="83"/>
      <c r="B194" s="15"/>
      <c r="C194" s="15"/>
      <c r="D194" s="48"/>
      <c r="E194" s="48"/>
      <c r="F194" s="17"/>
      <c r="G194" s="48"/>
      <c r="H194" s="53"/>
      <c r="I194" s="53"/>
      <c r="J194" s="53"/>
      <c r="K194" s="53"/>
      <c r="L194" s="53"/>
      <c r="M194" s="53"/>
    </row>
    <row r="195" spans="1:13" x14ac:dyDescent="0.2">
      <c r="A195" s="83"/>
      <c r="B195" s="15"/>
      <c r="C195" s="15"/>
      <c r="D195" s="48"/>
      <c r="E195" s="48"/>
      <c r="F195" s="17"/>
      <c r="G195" s="48"/>
      <c r="H195" s="53"/>
      <c r="I195" s="53"/>
      <c r="J195" s="53"/>
      <c r="K195" s="53"/>
      <c r="L195" s="53"/>
      <c r="M195" s="53"/>
    </row>
    <row r="196" spans="1:13" x14ac:dyDescent="0.2">
      <c r="A196" s="83"/>
      <c r="B196" s="15"/>
      <c r="C196" s="15"/>
      <c r="D196" s="48"/>
      <c r="E196" s="48"/>
      <c r="F196" s="17"/>
      <c r="G196" s="48"/>
      <c r="H196" s="53"/>
      <c r="I196" s="53"/>
      <c r="J196" s="53"/>
      <c r="K196" s="53"/>
      <c r="L196" s="53"/>
      <c r="M196" s="53"/>
    </row>
    <row r="197" spans="1:13" x14ac:dyDescent="0.2">
      <c r="A197" s="83"/>
      <c r="B197" s="15"/>
      <c r="C197" s="15"/>
      <c r="D197" s="48"/>
      <c r="E197" s="48"/>
      <c r="F197" s="17"/>
      <c r="G197" s="48"/>
      <c r="H197" s="53"/>
      <c r="I197" s="53"/>
      <c r="J197" s="53"/>
      <c r="K197" s="53"/>
      <c r="L197" s="53"/>
      <c r="M197" s="53"/>
    </row>
    <row r="198" spans="1:13" x14ac:dyDescent="0.2">
      <c r="A198" s="83"/>
      <c r="B198" s="15"/>
      <c r="C198" s="15"/>
      <c r="D198" s="48"/>
      <c r="E198" s="48"/>
      <c r="F198" s="17"/>
      <c r="G198" s="48"/>
      <c r="H198" s="53"/>
      <c r="I198" s="53"/>
      <c r="J198" s="53"/>
      <c r="K198" s="53"/>
      <c r="L198" s="53"/>
      <c r="M198" s="53"/>
    </row>
    <row r="199" spans="1:13" x14ac:dyDescent="0.2">
      <c r="A199" s="83"/>
      <c r="B199" s="15"/>
      <c r="C199" s="15"/>
      <c r="D199" s="48"/>
      <c r="E199" s="48"/>
      <c r="F199" s="17"/>
      <c r="G199" s="48"/>
      <c r="H199" s="53"/>
      <c r="I199" s="53"/>
      <c r="J199" s="53"/>
      <c r="K199" s="53"/>
      <c r="L199" s="53"/>
      <c r="M199" s="53"/>
    </row>
    <row r="200" spans="1:13" x14ac:dyDescent="0.2">
      <c r="A200" s="83"/>
      <c r="B200" s="15"/>
      <c r="C200" s="15"/>
      <c r="D200" s="48"/>
      <c r="E200" s="48"/>
      <c r="F200" s="17"/>
      <c r="G200" s="48"/>
      <c r="H200" s="53"/>
      <c r="I200" s="53"/>
      <c r="J200" s="53"/>
      <c r="K200" s="53"/>
      <c r="L200" s="53"/>
      <c r="M200" s="53"/>
    </row>
    <row r="201" spans="1:13" x14ac:dyDescent="0.2">
      <c r="A201" s="83"/>
      <c r="B201" s="15"/>
      <c r="C201" s="15"/>
      <c r="D201" s="48"/>
      <c r="E201" s="48"/>
      <c r="F201" s="17"/>
      <c r="G201" s="48"/>
      <c r="H201" s="53"/>
      <c r="I201" s="53"/>
      <c r="J201" s="53"/>
      <c r="K201" s="53"/>
      <c r="L201" s="53"/>
      <c r="M201" s="53"/>
    </row>
    <row r="202" spans="1:13" x14ac:dyDescent="0.2">
      <c r="A202" s="83"/>
      <c r="B202" s="15"/>
      <c r="C202" s="15"/>
      <c r="D202" s="48"/>
      <c r="E202" s="48"/>
      <c r="F202" s="17"/>
      <c r="G202" s="48"/>
      <c r="H202" s="53"/>
      <c r="I202" s="53"/>
      <c r="J202" s="53"/>
      <c r="K202" s="53"/>
      <c r="L202" s="53"/>
      <c r="M202" s="53"/>
    </row>
  </sheetData>
  <sheetProtection selectLockedCells="1"/>
  <protectedRanges>
    <protectedRange sqref="A2" name="Range1"/>
  </protectedRanges>
  <dataConsolidate/>
  <mergeCells count="17">
    <mergeCell ref="H4:M4"/>
    <mergeCell ref="H5:N5"/>
    <mergeCell ref="D1:G1"/>
    <mergeCell ref="D8:D10"/>
    <mergeCell ref="E8:E10"/>
    <mergeCell ref="F8:F10"/>
    <mergeCell ref="G8:G10"/>
    <mergeCell ref="H1:O2"/>
    <mergeCell ref="A82:G82"/>
    <mergeCell ref="A1:B1"/>
    <mergeCell ref="A24:B24"/>
    <mergeCell ref="A38:B38"/>
    <mergeCell ref="A40:B40"/>
    <mergeCell ref="A63:B63"/>
    <mergeCell ref="A7:B7"/>
    <mergeCell ref="A11:B11"/>
    <mergeCell ref="A46:B46"/>
  </mergeCells>
  <phoneticPr fontId="0" type="noConversion"/>
  <conditionalFormatting sqref="T1:T4 R5 T6:T65536">
    <cfRule type="expression" dxfId="3" priority="1" stopIfTrue="1">
      <formula>ISERROR(reference)</formula>
    </cfRule>
  </conditionalFormatting>
  <conditionalFormatting sqref="H11">
    <cfRule type="cellIs" dxfId="2" priority="2" stopIfTrue="1" operator="lessThanOrEqual">
      <formula>$H$84</formula>
    </cfRule>
  </conditionalFormatting>
  <conditionalFormatting sqref="H24">
    <cfRule type="cellIs" dxfId="1" priority="3" stopIfTrue="1" operator="lessThanOrEqual">
      <formula>$H$85</formula>
    </cfRule>
  </conditionalFormatting>
  <conditionalFormatting sqref="H38">
    <cfRule type="cellIs" dxfId="0" priority="4" stopIfTrue="1" operator="lessThanOrEqual">
      <formula>$H$85</formula>
    </cfRule>
  </conditionalFormatting>
  <dataValidations count="2">
    <dataValidation type="list" allowBlank="1" showInputMessage="1" showErrorMessage="1" sqref="A3:D3">
      <formula1>Select_Budget_Period</formula1>
    </dataValidation>
    <dataValidation type="list" allowBlank="1" showInputMessage="1" showErrorMessage="1" sqref="A2">
      <formula1>Select_AAA_Name</formula1>
    </dataValidation>
  </dataValidations>
  <printOptions verticalCentered="1"/>
  <pageMargins left="0" right="0" top="0" bottom="0.5" header="0.19" footer="0.2"/>
  <pageSetup paperSize="17" scale="68" fitToHeight="2" orientation="landscape" cellComments="asDisplayed" r:id="rId1"/>
  <headerFooter alignWithMargins="0">
    <oddFooter>&amp;L&amp;A&amp;CDate Printed:  &amp;D                                                                 &amp;R&amp;P of &amp;N</oddFooter>
  </headerFooter>
  <rowBreaks count="1" manualBreakCount="1">
    <brk id="44" max="20" man="1"/>
  </rowBreaks>
  <cellWatches>
    <cellWatch r="T8"/>
  </cellWatches>
  <ignoredErrors>
    <ignoredError sqref="T13:T23 T47:T77 T25:T37 T39:T44 T81"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sheetPr>
  <dimension ref="A1:Q37"/>
  <sheetViews>
    <sheetView showGridLines="0" zoomScaleNormal="100" zoomScaleSheetLayoutView="100" workbookViewId="0">
      <selection activeCell="A13" sqref="A13"/>
    </sheetView>
  </sheetViews>
  <sheetFormatPr defaultColWidth="9.125" defaultRowHeight="13.2" x14ac:dyDescent="0.25"/>
  <cols>
    <col min="1" max="1" width="66.25" style="2" customWidth="1"/>
    <col min="2" max="9" width="16.75" style="2" customWidth="1"/>
    <col min="10" max="16384" width="9.125" style="2"/>
  </cols>
  <sheetData>
    <row r="1" spans="1:17" ht="16.5" customHeight="1" x14ac:dyDescent="0.3">
      <c r="A1" s="154" t="s">
        <v>281</v>
      </c>
      <c r="B1" s="154"/>
      <c r="C1" s="296"/>
      <c r="D1" s="296"/>
      <c r="E1" s="296"/>
      <c r="F1" s="297"/>
      <c r="G1" s="298"/>
      <c r="H1" s="298"/>
      <c r="I1" s="298"/>
      <c r="J1" s="1"/>
      <c r="K1" s="1"/>
      <c r="L1" s="1"/>
      <c r="M1" s="1"/>
      <c r="N1" s="1"/>
      <c r="O1" s="1"/>
      <c r="P1" s="1"/>
    </row>
    <row r="2" spans="1:17" ht="15.6" x14ac:dyDescent="0.3">
      <c r="A2" s="160" t="str">
        <f>Budget!A2</f>
        <v>Multnomah County Aging, Disability &amp; Veterans Services Dept (MCADVSD)</v>
      </c>
      <c r="B2" s="299"/>
      <c r="C2" s="300"/>
      <c r="D2" s="297"/>
      <c r="E2" s="297"/>
      <c r="F2" s="297"/>
      <c r="G2" s="298"/>
      <c r="H2" s="298"/>
      <c r="I2" s="298"/>
      <c r="J2" s="1"/>
      <c r="K2" s="1"/>
      <c r="L2" s="1"/>
      <c r="M2" s="1"/>
      <c r="N2" s="1"/>
      <c r="O2" s="1"/>
      <c r="P2" s="1"/>
    </row>
    <row r="3" spans="1:17" ht="15.75" customHeight="1" x14ac:dyDescent="0.3">
      <c r="A3" s="160" t="str">
        <f>Budget!A3:B3</f>
        <v>BUDGET PERIOD:  7.1.2017 - 6.30.2018  Area Plan Year 2</v>
      </c>
      <c r="B3" s="424" t="s">
        <v>186</v>
      </c>
      <c r="C3" s="425"/>
      <c r="D3" s="425"/>
      <c r="E3" s="425"/>
      <c r="F3" s="425"/>
      <c r="G3" s="301"/>
      <c r="H3" s="298"/>
      <c r="I3" s="298"/>
    </row>
    <row r="4" spans="1:17" ht="15.6" x14ac:dyDescent="0.3">
      <c r="A4" s="160"/>
      <c r="B4" s="425"/>
      <c r="C4" s="425"/>
      <c r="D4" s="425"/>
      <c r="E4" s="425"/>
      <c r="F4" s="425"/>
      <c r="G4" s="301"/>
      <c r="H4" s="298"/>
      <c r="I4" s="298"/>
    </row>
    <row r="5" spans="1:17" ht="15.6" x14ac:dyDescent="0.3">
      <c r="A5" s="302"/>
      <c r="B5" s="302"/>
      <c r="C5" s="298"/>
      <c r="D5" s="303"/>
      <c r="E5" s="303"/>
      <c r="F5" s="303"/>
      <c r="G5" s="303"/>
      <c r="H5" s="298"/>
      <c r="I5" s="298"/>
      <c r="J5" s="1"/>
      <c r="K5" s="1"/>
      <c r="L5" s="1"/>
      <c r="M5" s="1"/>
      <c r="N5" s="1"/>
      <c r="O5" s="1"/>
      <c r="P5" s="1"/>
      <c r="Q5" s="1"/>
    </row>
    <row r="6" spans="1:17" s="3" customFormat="1" ht="15" x14ac:dyDescent="0.25">
      <c r="A6" s="304" t="s">
        <v>122</v>
      </c>
      <c r="B6" s="304" t="s">
        <v>123</v>
      </c>
      <c r="C6" s="304" t="s">
        <v>124</v>
      </c>
      <c r="D6" s="304" t="s">
        <v>125</v>
      </c>
      <c r="E6" s="304" t="s">
        <v>126</v>
      </c>
      <c r="F6" s="304" t="s">
        <v>127</v>
      </c>
      <c r="G6" s="304" t="s">
        <v>128</v>
      </c>
      <c r="H6" s="304" t="s">
        <v>129</v>
      </c>
      <c r="I6" s="304" t="s">
        <v>141</v>
      </c>
    </row>
    <row r="7" spans="1:17" ht="16.2" thickBot="1" x14ac:dyDescent="0.35">
      <c r="A7" s="428" t="s">
        <v>232</v>
      </c>
      <c r="B7" s="305"/>
      <c r="C7" s="305"/>
      <c r="D7" s="305"/>
      <c r="E7" s="305"/>
      <c r="F7" s="305"/>
      <c r="G7" s="305"/>
      <c r="H7" s="305"/>
      <c r="I7" s="306"/>
    </row>
    <row r="8" spans="1:17" ht="38.25" customHeight="1" thickBot="1" x14ac:dyDescent="0.35">
      <c r="A8" s="429"/>
      <c r="B8" s="307" t="s">
        <v>160</v>
      </c>
      <c r="C8" s="308" t="s">
        <v>165</v>
      </c>
      <c r="D8" s="307" t="s">
        <v>164</v>
      </c>
      <c r="E8" s="308" t="s">
        <v>166</v>
      </c>
      <c r="F8" s="307" t="s">
        <v>159</v>
      </c>
      <c r="G8" s="308" t="s">
        <v>167</v>
      </c>
      <c r="H8" s="309" t="s">
        <v>168</v>
      </c>
      <c r="I8" s="310" t="s">
        <v>157</v>
      </c>
    </row>
    <row r="9" spans="1:17" ht="21" customHeight="1" x14ac:dyDescent="0.25">
      <c r="A9" s="67" t="s">
        <v>300</v>
      </c>
      <c r="B9" s="107">
        <v>1348698</v>
      </c>
      <c r="C9" s="108"/>
      <c r="D9" s="107">
        <f>6703192-1348698-211560-3000-1850-200933</f>
        <v>4937151</v>
      </c>
      <c r="E9" s="108"/>
      <c r="F9" s="107">
        <v>211560</v>
      </c>
      <c r="G9" s="108"/>
      <c r="H9" s="313">
        <f t="shared" ref="H9:H21" si="0">B9+D9+F9</f>
        <v>6497409</v>
      </c>
      <c r="I9" s="314">
        <f t="shared" ref="I9:I21" si="1">C9+E9+G9</f>
        <v>0</v>
      </c>
    </row>
    <row r="10" spans="1:17" ht="21" customHeight="1" x14ac:dyDescent="0.25">
      <c r="A10" s="68" t="s">
        <v>301</v>
      </c>
      <c r="B10" s="109"/>
      <c r="C10" s="110"/>
      <c r="D10" s="109">
        <v>3000</v>
      </c>
      <c r="E10" s="110"/>
      <c r="F10" s="109"/>
      <c r="G10" s="110"/>
      <c r="H10" s="313">
        <f t="shared" si="0"/>
        <v>3000</v>
      </c>
      <c r="I10" s="314">
        <f t="shared" si="1"/>
        <v>0</v>
      </c>
    </row>
    <row r="11" spans="1:17" ht="21" customHeight="1" x14ac:dyDescent="0.25">
      <c r="A11" s="68" t="s">
        <v>302</v>
      </c>
      <c r="B11" s="109"/>
      <c r="C11" s="110"/>
      <c r="D11" s="109">
        <v>1850</v>
      </c>
      <c r="E11" s="110"/>
      <c r="F11" s="109"/>
      <c r="G11" s="110"/>
      <c r="H11" s="313">
        <f t="shared" si="0"/>
        <v>1850</v>
      </c>
      <c r="I11" s="314">
        <f t="shared" si="1"/>
        <v>0</v>
      </c>
    </row>
    <row r="12" spans="1:17" ht="21" customHeight="1" x14ac:dyDescent="0.25">
      <c r="A12" s="68" t="s">
        <v>303</v>
      </c>
      <c r="B12" s="109"/>
      <c r="C12" s="110"/>
      <c r="D12" s="109">
        <v>319534</v>
      </c>
      <c r="E12" s="110"/>
      <c r="F12" s="109"/>
      <c r="G12" s="110"/>
      <c r="H12" s="313">
        <f t="shared" si="0"/>
        <v>319534</v>
      </c>
      <c r="I12" s="314">
        <f t="shared" si="1"/>
        <v>0</v>
      </c>
    </row>
    <row r="13" spans="1:17" ht="21" customHeight="1" x14ac:dyDescent="0.25">
      <c r="A13" s="68" t="s">
        <v>304</v>
      </c>
      <c r="B13" s="109"/>
      <c r="C13" s="110"/>
      <c r="D13" s="109"/>
      <c r="E13" s="110">
        <v>2301729</v>
      </c>
      <c r="F13" s="109"/>
      <c r="G13" s="110"/>
      <c r="H13" s="313">
        <f t="shared" si="0"/>
        <v>0</v>
      </c>
      <c r="I13" s="314">
        <f t="shared" si="1"/>
        <v>2301729</v>
      </c>
    </row>
    <row r="14" spans="1:17" ht="21" customHeight="1" x14ac:dyDescent="0.25">
      <c r="A14" s="68" t="s">
        <v>305</v>
      </c>
      <c r="B14" s="109"/>
      <c r="C14" s="110"/>
      <c r="D14" s="109">
        <f>16744.43*12</f>
        <v>200933.16</v>
      </c>
      <c r="E14" s="110"/>
      <c r="F14" s="109"/>
      <c r="G14" s="110"/>
      <c r="H14" s="313">
        <f t="shared" si="0"/>
        <v>200933.16</v>
      </c>
      <c r="I14" s="314">
        <f t="shared" si="1"/>
        <v>0</v>
      </c>
    </row>
    <row r="15" spans="1:17" ht="21" customHeight="1" x14ac:dyDescent="0.25">
      <c r="A15" s="68" t="s">
        <v>306</v>
      </c>
      <c r="B15" s="109"/>
      <c r="C15" s="110"/>
      <c r="D15" s="109">
        <v>635032</v>
      </c>
      <c r="E15" s="110"/>
      <c r="F15" s="109"/>
      <c r="G15" s="110"/>
      <c r="H15" s="313">
        <f t="shared" si="0"/>
        <v>635032</v>
      </c>
      <c r="I15" s="314">
        <f t="shared" si="1"/>
        <v>0</v>
      </c>
    </row>
    <row r="16" spans="1:17" ht="21" customHeight="1" x14ac:dyDescent="0.25">
      <c r="A16" s="68"/>
      <c r="B16" s="109"/>
      <c r="C16" s="110"/>
      <c r="D16" s="109"/>
      <c r="E16" s="110"/>
      <c r="F16" s="109"/>
      <c r="G16" s="110"/>
      <c r="H16" s="313">
        <f t="shared" si="0"/>
        <v>0</v>
      </c>
      <c r="I16" s="314">
        <f t="shared" si="1"/>
        <v>0</v>
      </c>
    </row>
    <row r="17" spans="1:9" ht="21" customHeight="1" x14ac:dyDescent="0.25">
      <c r="A17" s="68"/>
      <c r="B17" s="109"/>
      <c r="C17" s="110"/>
      <c r="D17" s="109"/>
      <c r="E17" s="110"/>
      <c r="F17" s="109"/>
      <c r="G17" s="110"/>
      <c r="H17" s="313">
        <f t="shared" si="0"/>
        <v>0</v>
      </c>
      <c r="I17" s="314">
        <f t="shared" si="1"/>
        <v>0</v>
      </c>
    </row>
    <row r="18" spans="1:9" ht="21" customHeight="1" x14ac:dyDescent="0.25">
      <c r="A18" s="68"/>
      <c r="B18" s="109"/>
      <c r="C18" s="110"/>
      <c r="D18" s="109"/>
      <c r="E18" s="110"/>
      <c r="F18" s="109"/>
      <c r="G18" s="110"/>
      <c r="H18" s="313">
        <f t="shared" si="0"/>
        <v>0</v>
      </c>
      <c r="I18" s="314">
        <f t="shared" si="1"/>
        <v>0</v>
      </c>
    </row>
    <row r="19" spans="1:9" ht="21" customHeight="1" x14ac:dyDescent="0.25">
      <c r="A19" s="68"/>
      <c r="B19" s="109"/>
      <c r="C19" s="110"/>
      <c r="D19" s="109"/>
      <c r="E19" s="110"/>
      <c r="F19" s="109"/>
      <c r="G19" s="110"/>
      <c r="H19" s="313">
        <f t="shared" si="0"/>
        <v>0</v>
      </c>
      <c r="I19" s="314">
        <f t="shared" si="1"/>
        <v>0</v>
      </c>
    </row>
    <row r="20" spans="1:9" ht="21" customHeight="1" x14ac:dyDescent="0.25">
      <c r="A20" s="68"/>
      <c r="B20" s="109"/>
      <c r="C20" s="110"/>
      <c r="D20" s="109"/>
      <c r="E20" s="110"/>
      <c r="F20" s="109"/>
      <c r="G20" s="110"/>
      <c r="H20" s="313">
        <f t="shared" si="0"/>
        <v>0</v>
      </c>
      <c r="I20" s="314">
        <f t="shared" si="1"/>
        <v>0</v>
      </c>
    </row>
    <row r="21" spans="1:9" ht="21" customHeight="1" thickBot="1" x14ac:dyDescent="0.3">
      <c r="A21" s="69"/>
      <c r="B21" s="111"/>
      <c r="C21" s="112"/>
      <c r="D21" s="111"/>
      <c r="E21" s="112"/>
      <c r="F21" s="111"/>
      <c r="G21" s="112"/>
      <c r="H21" s="313">
        <f t="shared" si="0"/>
        <v>0</v>
      </c>
      <c r="I21" s="314">
        <f t="shared" si="1"/>
        <v>0</v>
      </c>
    </row>
    <row r="22" spans="1:9" ht="21" customHeight="1" thickBot="1" x14ac:dyDescent="0.35">
      <c r="A22" s="311" t="s">
        <v>121</v>
      </c>
      <c r="B22" s="312">
        <f>SUM(B9:B21)</f>
        <v>1348698</v>
      </c>
      <c r="C22" s="312">
        <f t="shared" ref="C22:I22" si="2">SUM(C9:C21)</f>
        <v>0</v>
      </c>
      <c r="D22" s="312">
        <f t="shared" si="2"/>
        <v>6097500.1600000001</v>
      </c>
      <c r="E22" s="312">
        <f t="shared" si="2"/>
        <v>2301729</v>
      </c>
      <c r="F22" s="312">
        <f t="shared" si="2"/>
        <v>211560</v>
      </c>
      <c r="G22" s="312">
        <f t="shared" si="2"/>
        <v>0</v>
      </c>
      <c r="H22" s="312">
        <f t="shared" si="2"/>
        <v>7657758.1600000001</v>
      </c>
      <c r="I22" s="312">
        <f t="shared" si="2"/>
        <v>2301729</v>
      </c>
    </row>
    <row r="23" spans="1:9" ht="15" x14ac:dyDescent="0.25">
      <c r="A23" s="70"/>
      <c r="B23" s="70"/>
      <c r="C23" s="70"/>
      <c r="D23" s="70"/>
      <c r="E23" s="70"/>
      <c r="F23" s="70"/>
      <c r="G23" s="70"/>
      <c r="H23" s="70"/>
      <c r="I23" s="70"/>
    </row>
    <row r="24" spans="1:9" ht="15" x14ac:dyDescent="0.25">
      <c r="A24" s="70"/>
      <c r="B24" s="70"/>
      <c r="C24" s="70"/>
      <c r="D24" s="70"/>
      <c r="E24" s="70"/>
      <c r="F24" s="70"/>
      <c r="G24" s="70"/>
      <c r="H24" s="70"/>
      <c r="I24" s="70"/>
    </row>
    <row r="25" spans="1:9" s="4" customFormat="1" ht="18" customHeight="1" x14ac:dyDescent="0.3">
      <c r="A25" s="304" t="s">
        <v>142</v>
      </c>
      <c r="B25" s="304" t="s">
        <v>143</v>
      </c>
      <c r="C25" s="71"/>
      <c r="D25" s="426" t="s">
        <v>187</v>
      </c>
      <c r="E25" s="427"/>
      <c r="F25" s="71"/>
      <c r="G25" s="71"/>
      <c r="H25" s="71"/>
      <c r="I25" s="71"/>
    </row>
    <row r="26" spans="1:9" ht="18" customHeight="1" x14ac:dyDescent="0.3">
      <c r="A26" s="430" t="s">
        <v>206</v>
      </c>
      <c r="B26" s="315"/>
      <c r="C26" s="70"/>
      <c r="D26" s="421"/>
      <c r="E26" s="422"/>
      <c r="F26" s="422"/>
      <c r="G26" s="422"/>
      <c r="H26" s="423"/>
      <c r="I26" s="70"/>
    </row>
    <row r="27" spans="1:9" ht="18" customHeight="1" thickBot="1" x14ac:dyDescent="0.35">
      <c r="A27" s="429"/>
      <c r="B27" s="316" t="s">
        <v>120</v>
      </c>
      <c r="C27" s="70"/>
      <c r="D27" s="421"/>
      <c r="E27" s="422"/>
      <c r="F27" s="422"/>
      <c r="G27" s="422"/>
      <c r="H27" s="423"/>
      <c r="I27" s="70"/>
    </row>
    <row r="28" spans="1:9" ht="21" customHeight="1" x14ac:dyDescent="0.25">
      <c r="A28" s="67"/>
      <c r="B28" s="105"/>
      <c r="C28" s="70"/>
      <c r="D28" s="421"/>
      <c r="E28" s="422"/>
      <c r="F28" s="422"/>
      <c r="G28" s="422"/>
      <c r="H28" s="423"/>
      <c r="I28" s="70"/>
    </row>
    <row r="29" spans="1:9" ht="21" customHeight="1" x14ac:dyDescent="0.25">
      <c r="A29" s="68" t="s">
        <v>307</v>
      </c>
      <c r="B29" s="106">
        <f>4199079</f>
        <v>4199079</v>
      </c>
      <c r="C29" s="70"/>
      <c r="D29" s="421"/>
      <c r="E29" s="422"/>
      <c r="F29" s="422"/>
      <c r="G29" s="422"/>
      <c r="H29" s="423"/>
      <c r="I29" s="70"/>
    </row>
    <row r="30" spans="1:9" ht="21" customHeight="1" x14ac:dyDescent="0.25">
      <c r="A30" s="68" t="s">
        <v>308</v>
      </c>
      <c r="B30" s="106">
        <v>354830</v>
      </c>
      <c r="C30" s="70"/>
      <c r="D30" s="421"/>
      <c r="E30" s="422"/>
      <c r="F30" s="422"/>
      <c r="G30" s="422"/>
      <c r="H30" s="423"/>
      <c r="I30" s="70"/>
    </row>
    <row r="31" spans="1:9" ht="21" customHeight="1" x14ac:dyDescent="0.25">
      <c r="A31" s="68" t="s">
        <v>309</v>
      </c>
      <c r="B31" s="106">
        <v>100000</v>
      </c>
      <c r="C31" s="70"/>
      <c r="D31" s="421"/>
      <c r="E31" s="422"/>
      <c r="F31" s="422"/>
      <c r="G31" s="422"/>
      <c r="H31" s="423"/>
      <c r="I31" s="70"/>
    </row>
    <row r="32" spans="1:9" ht="21" customHeight="1" x14ac:dyDescent="0.25">
      <c r="A32" s="68"/>
      <c r="B32" s="106"/>
      <c r="C32" s="70"/>
      <c r="D32" s="421"/>
      <c r="E32" s="422"/>
      <c r="F32" s="422"/>
      <c r="G32" s="422"/>
      <c r="H32" s="423"/>
      <c r="I32" s="70"/>
    </row>
    <row r="33" spans="1:9" ht="21" customHeight="1" x14ac:dyDescent="0.25">
      <c r="A33" s="68"/>
      <c r="B33" s="106"/>
      <c r="C33" s="70"/>
      <c r="D33" s="421"/>
      <c r="E33" s="422"/>
      <c r="F33" s="422"/>
      <c r="G33" s="422"/>
      <c r="H33" s="423"/>
      <c r="I33" s="70"/>
    </row>
    <row r="34" spans="1:9" ht="21" customHeight="1" x14ac:dyDescent="0.25">
      <c r="A34" s="68"/>
      <c r="B34" s="106"/>
      <c r="C34" s="70"/>
      <c r="D34" s="421"/>
      <c r="E34" s="422"/>
      <c r="F34" s="422"/>
      <c r="G34" s="422"/>
      <c r="H34" s="423"/>
      <c r="I34" s="70"/>
    </row>
    <row r="35" spans="1:9" ht="21" customHeight="1" thickBot="1" x14ac:dyDescent="0.3">
      <c r="A35" s="68"/>
      <c r="B35" s="106"/>
      <c r="C35" s="70"/>
      <c r="D35" s="421"/>
      <c r="E35" s="422"/>
      <c r="F35" s="422"/>
      <c r="G35" s="422"/>
      <c r="H35" s="423"/>
      <c r="I35" s="70"/>
    </row>
    <row r="36" spans="1:9" ht="21" customHeight="1" thickBot="1" x14ac:dyDescent="0.35">
      <c r="A36" s="311" t="s">
        <v>121</v>
      </c>
      <c r="B36" s="317">
        <f>SUM(B28:B35)</f>
        <v>4653909</v>
      </c>
      <c r="C36" s="70"/>
      <c r="D36" s="70"/>
      <c r="E36" s="70"/>
      <c r="F36" s="70"/>
      <c r="G36" s="70"/>
      <c r="H36" s="70"/>
      <c r="I36" s="70"/>
    </row>
    <row r="37" spans="1:9" ht="15" x14ac:dyDescent="0.25">
      <c r="A37" s="70"/>
      <c r="B37" s="70"/>
      <c r="C37" s="70"/>
      <c r="D37" s="70"/>
      <c r="E37" s="70"/>
      <c r="F37" s="70"/>
      <c r="G37" s="70"/>
      <c r="H37" s="70"/>
      <c r="I37" s="70"/>
    </row>
  </sheetData>
  <sheetProtection password="CC72" sheet="1" objects="1" scenarios="1" selectLockedCells="1"/>
  <protectedRanges>
    <protectedRange sqref="A2:B2" name="Range2"/>
    <protectedRange sqref="A9:G21 A28:B35" name="Range1"/>
  </protectedRanges>
  <mergeCells count="14">
    <mergeCell ref="A7:A8"/>
    <mergeCell ref="A26:A27"/>
    <mergeCell ref="D31:H31"/>
    <mergeCell ref="D32:H32"/>
    <mergeCell ref="D33:H33"/>
    <mergeCell ref="D35:H35"/>
    <mergeCell ref="B3:F4"/>
    <mergeCell ref="D26:H26"/>
    <mergeCell ref="D27:H27"/>
    <mergeCell ref="D28:H28"/>
    <mergeCell ref="D29:H29"/>
    <mergeCell ref="D30:H30"/>
    <mergeCell ref="D25:E25"/>
    <mergeCell ref="D34:H34"/>
  </mergeCells>
  <phoneticPr fontId="5" type="noConversion"/>
  <printOptions horizontalCentered="1" verticalCentered="1"/>
  <pageMargins left="0" right="0" top="0" bottom="0.5" header="0.19" footer="0.2"/>
  <pageSetup scale="68" orientation="landscape" r:id="rId1"/>
  <headerFooter alignWithMargins="0">
    <oddFooter>&amp;L&amp;A&amp;CDate Printed:  &amp;D                                                                 &amp;R&amp;P of &amp;N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O86"/>
  <sheetViews>
    <sheetView view="pageBreakPreview" zoomScaleNormal="100" zoomScaleSheetLayoutView="100" workbookViewId="0">
      <selection activeCell="K71" sqref="K71"/>
    </sheetView>
  </sheetViews>
  <sheetFormatPr defaultColWidth="9.125" defaultRowHeight="15" x14ac:dyDescent="0.2"/>
  <cols>
    <col min="1" max="1" width="41.625" style="14" customWidth="1"/>
    <col min="2" max="2" width="10.25" style="14" customWidth="1"/>
    <col min="3" max="4" width="14.75" style="14" customWidth="1"/>
    <col min="5" max="5" width="18.25" style="14" customWidth="1"/>
    <col min="6" max="12" width="14.75" style="14" customWidth="1"/>
    <col min="13" max="16384" width="9.125" style="14"/>
  </cols>
  <sheetData>
    <row r="1" spans="1:15" s="15" customFormat="1" ht="16.5" customHeight="1" x14ac:dyDescent="0.3">
      <c r="A1" s="431" t="s">
        <v>282</v>
      </c>
      <c r="B1" s="431"/>
      <c r="C1" s="80"/>
      <c r="D1" s="437" t="s">
        <v>258</v>
      </c>
      <c r="E1" s="425"/>
      <c r="F1" s="425"/>
      <c r="G1" s="425"/>
      <c r="H1" s="425"/>
      <c r="I1" s="425"/>
    </row>
    <row r="2" spans="1:15" ht="15.75" customHeight="1" x14ac:dyDescent="0.3">
      <c r="A2" s="160" t="str">
        <f>Budget!A2</f>
        <v>Multnomah County Aging, Disability &amp; Veterans Services Dept (MCADVSD)</v>
      </c>
      <c r="B2" s="318"/>
      <c r="C2" s="318"/>
      <c r="D2" s="425"/>
      <c r="E2" s="425"/>
      <c r="F2" s="425"/>
      <c r="G2" s="425"/>
      <c r="H2" s="425"/>
      <c r="I2" s="425"/>
      <c r="J2" s="15"/>
      <c r="K2" s="15"/>
      <c r="L2" s="15"/>
      <c r="M2" s="15"/>
      <c r="N2" s="15"/>
      <c r="O2" s="15"/>
    </row>
    <row r="3" spans="1:15" ht="15.6" x14ac:dyDescent="0.3">
      <c r="A3" s="432" t="str">
        <f>Budget!A3:B3</f>
        <v>BUDGET PERIOD:  7.1.2017 - 6.30.2018  Area Plan Year 2</v>
      </c>
      <c r="B3" s="432"/>
      <c r="C3" s="433"/>
      <c r="D3" s="162"/>
      <c r="E3" s="298"/>
    </row>
    <row r="4" spans="1:15" ht="15.6" x14ac:dyDescent="0.3">
      <c r="A4" s="160"/>
      <c r="B4" s="160"/>
      <c r="C4" s="319"/>
      <c r="D4" s="162"/>
      <c r="E4" s="298"/>
    </row>
    <row r="5" spans="1:15" s="320" customFormat="1" ht="15.6" x14ac:dyDescent="0.3">
      <c r="A5" s="324" t="s">
        <v>189</v>
      </c>
      <c r="B5" s="325"/>
      <c r="C5" s="325"/>
      <c r="D5" s="325"/>
      <c r="E5" s="325"/>
      <c r="F5" s="434" t="s">
        <v>190</v>
      </c>
      <c r="G5" s="435"/>
      <c r="H5" s="435"/>
      <c r="I5" s="435"/>
      <c r="J5" s="435"/>
      <c r="K5" s="436"/>
      <c r="L5" s="326"/>
    </row>
    <row r="6" spans="1:15" x14ac:dyDescent="0.2">
      <c r="A6" s="327" t="s">
        <v>122</v>
      </c>
      <c r="B6" s="327" t="s">
        <v>123</v>
      </c>
      <c r="C6" s="327" t="s">
        <v>124</v>
      </c>
      <c r="D6" s="327" t="s">
        <v>125</v>
      </c>
      <c r="E6" s="328" t="s">
        <v>126</v>
      </c>
      <c r="F6" s="327" t="s">
        <v>127</v>
      </c>
      <c r="G6" s="327" t="s">
        <v>128</v>
      </c>
      <c r="H6" s="327" t="s">
        <v>129</v>
      </c>
      <c r="I6" s="327" t="s">
        <v>141</v>
      </c>
      <c r="J6" s="327" t="s">
        <v>142</v>
      </c>
      <c r="K6" s="327" t="s">
        <v>143</v>
      </c>
      <c r="L6" s="329" t="s">
        <v>144</v>
      </c>
    </row>
    <row r="7" spans="1:15" s="321" customFormat="1" ht="62.4" x14ac:dyDescent="0.3">
      <c r="A7" s="330" t="s">
        <v>172</v>
      </c>
      <c r="B7" s="330" t="s">
        <v>149</v>
      </c>
      <c r="C7" s="330" t="s">
        <v>135</v>
      </c>
      <c r="D7" s="330" t="s">
        <v>136</v>
      </c>
      <c r="E7" s="331" t="s">
        <v>237</v>
      </c>
      <c r="F7" s="330" t="s">
        <v>137</v>
      </c>
      <c r="G7" s="330" t="s">
        <v>138</v>
      </c>
      <c r="H7" s="330" t="s">
        <v>139</v>
      </c>
      <c r="I7" s="330" t="s">
        <v>132</v>
      </c>
      <c r="J7" s="330" t="s">
        <v>133</v>
      </c>
      <c r="K7" s="330" t="s">
        <v>134</v>
      </c>
      <c r="L7" s="331" t="s">
        <v>140</v>
      </c>
    </row>
    <row r="8" spans="1:15" ht="15.6" x14ac:dyDescent="0.25">
      <c r="A8" s="364" t="s">
        <v>311</v>
      </c>
      <c r="B8" s="75">
        <v>1</v>
      </c>
      <c r="C8" s="365">
        <v>103119</v>
      </c>
      <c r="D8" s="366">
        <v>63303</v>
      </c>
      <c r="E8" s="339">
        <f t="shared" ref="E8:E22" si="0">SUM(C8:D8)</f>
        <v>166422</v>
      </c>
      <c r="F8" s="366">
        <v>4992.66</v>
      </c>
      <c r="G8" s="114"/>
      <c r="H8" s="368">
        <v>14978</v>
      </c>
      <c r="I8" s="368">
        <v>134972.55797062186</v>
      </c>
      <c r="J8" s="368">
        <v>5165.4609132201776</v>
      </c>
      <c r="K8" s="368">
        <v>6313.3411161579952</v>
      </c>
      <c r="L8" s="340">
        <f>SUM(F8:K8)</f>
        <v>166422.02000000005</v>
      </c>
    </row>
    <row r="9" spans="1:15" ht="15.6" x14ac:dyDescent="0.25">
      <c r="A9" s="364" t="s">
        <v>312</v>
      </c>
      <c r="B9" s="75">
        <v>1</v>
      </c>
      <c r="C9" s="365">
        <v>44668</v>
      </c>
      <c r="D9" s="366">
        <v>29815</v>
      </c>
      <c r="E9" s="339">
        <f t="shared" si="0"/>
        <v>74483</v>
      </c>
      <c r="F9" s="366">
        <v>2233.4899999999998</v>
      </c>
      <c r="G9" s="114"/>
      <c r="H9" s="368">
        <v>6704</v>
      </c>
      <c r="I9" s="368">
        <v>60407.644634278069</v>
      </c>
      <c r="J9" s="368">
        <v>2311.8279145748666</v>
      </c>
      <c r="K9" s="368">
        <v>2825.5674511470593</v>
      </c>
      <c r="L9" s="340">
        <f t="shared" ref="L9:L14" si="1">SUM(F9:K9)</f>
        <v>74482.53</v>
      </c>
    </row>
    <row r="10" spans="1:15" ht="15.6" x14ac:dyDescent="0.25">
      <c r="A10" s="364" t="s">
        <v>313</v>
      </c>
      <c r="B10" s="75">
        <v>1</v>
      </c>
      <c r="C10" s="365">
        <v>65059</v>
      </c>
      <c r="D10" s="366">
        <v>40674</v>
      </c>
      <c r="E10" s="339">
        <f t="shared" si="0"/>
        <v>105733</v>
      </c>
      <c r="F10" s="366">
        <v>3171.99</v>
      </c>
      <c r="G10" s="114"/>
      <c r="H10" s="368">
        <v>9516</v>
      </c>
      <c r="I10" s="368">
        <v>85752.205068487077</v>
      </c>
      <c r="J10" s="368">
        <v>3281.7757191808109</v>
      </c>
      <c r="K10" s="368">
        <v>4011.0592123321026</v>
      </c>
      <c r="L10" s="340">
        <f t="shared" si="1"/>
        <v>105733.02999999998</v>
      </c>
    </row>
    <row r="11" spans="1:15" ht="15.6" x14ac:dyDescent="0.25">
      <c r="A11" s="364" t="s">
        <v>313</v>
      </c>
      <c r="B11" s="75">
        <v>1</v>
      </c>
      <c r="C11" s="365">
        <v>58998</v>
      </c>
      <c r="D11" s="366">
        <v>38338</v>
      </c>
      <c r="E11" s="339">
        <f t="shared" si="0"/>
        <v>97336</v>
      </c>
      <c r="F11" s="366">
        <v>2920.08</v>
      </c>
      <c r="G11" s="115"/>
      <c r="H11" s="368">
        <v>8760</v>
      </c>
      <c r="I11" s="368">
        <v>78942.020301573401</v>
      </c>
      <c r="J11" s="368">
        <v>3021.1468642919758</v>
      </c>
      <c r="K11" s="368">
        <v>3692.5128341346372</v>
      </c>
      <c r="L11" s="340">
        <f t="shared" si="1"/>
        <v>97335.760000000024</v>
      </c>
    </row>
    <row r="12" spans="1:15" ht="15.6" x14ac:dyDescent="0.25">
      <c r="A12" s="364" t="s">
        <v>314</v>
      </c>
      <c r="B12" s="75">
        <v>1</v>
      </c>
      <c r="C12" s="365">
        <v>69200</v>
      </c>
      <c r="D12" s="366">
        <v>46920</v>
      </c>
      <c r="E12" s="340">
        <f t="shared" si="0"/>
        <v>116120</v>
      </c>
      <c r="F12" s="366">
        <v>3483.6</v>
      </c>
      <c r="G12" s="115"/>
      <c r="H12" s="368">
        <v>10450.799999999999</v>
      </c>
      <c r="I12" s="368">
        <v>94176.331443851217</v>
      </c>
      <c r="J12" s="368">
        <v>3604.1708502669544</v>
      </c>
      <c r="K12" s="368">
        <v>4405.0977058818335</v>
      </c>
      <c r="L12" s="340">
        <f t="shared" si="1"/>
        <v>116120</v>
      </c>
    </row>
    <row r="13" spans="1:15" ht="15.6" x14ac:dyDescent="0.25">
      <c r="A13" s="364" t="s">
        <v>315</v>
      </c>
      <c r="B13" s="75">
        <v>1</v>
      </c>
      <c r="C13" s="365">
        <v>86968.8</v>
      </c>
      <c r="D13" s="366">
        <v>56040</v>
      </c>
      <c r="E13" s="340">
        <f t="shared" si="0"/>
        <v>143008.79999999999</v>
      </c>
      <c r="F13" s="366">
        <v>1354</v>
      </c>
      <c r="G13" s="115"/>
      <c r="H13" s="368"/>
      <c r="I13" s="368">
        <v>130552.4666308958</v>
      </c>
      <c r="J13" s="368">
        <v>4996.3020160969008</v>
      </c>
      <c r="K13" s="368">
        <v>6106.591353007324</v>
      </c>
      <c r="L13" s="340">
        <f t="shared" si="1"/>
        <v>143009.36000000002</v>
      </c>
    </row>
    <row r="14" spans="1:15" ht="15.6" x14ac:dyDescent="0.25">
      <c r="A14" s="364" t="s">
        <v>316</v>
      </c>
      <c r="B14" s="75">
        <v>1</v>
      </c>
      <c r="C14" s="365">
        <v>67407</v>
      </c>
      <c r="D14" s="366">
        <v>41579</v>
      </c>
      <c r="E14" s="340">
        <f t="shared" si="0"/>
        <v>108986</v>
      </c>
      <c r="F14" s="366">
        <v>3269.58</v>
      </c>
      <c r="G14" s="115"/>
      <c r="H14" s="368">
        <v>9808.74</v>
      </c>
      <c r="I14" s="368">
        <v>88390.472431446513</v>
      </c>
      <c r="J14" s="368">
        <v>3382.7434058490717</v>
      </c>
      <c r="K14" s="368">
        <v>4134.4641627044211</v>
      </c>
      <c r="L14" s="340">
        <f t="shared" si="1"/>
        <v>108986.00000000001</v>
      </c>
    </row>
    <row r="15" spans="1:15" ht="15.6" x14ac:dyDescent="0.25">
      <c r="A15" s="367" t="s">
        <v>317</v>
      </c>
      <c r="B15" s="75">
        <v>1</v>
      </c>
      <c r="C15" s="365">
        <v>134714.64000000001</v>
      </c>
      <c r="D15" s="366">
        <v>82699</v>
      </c>
      <c r="E15" s="340">
        <f>SUM(C15:D15)</f>
        <v>217413.64</v>
      </c>
      <c r="F15" s="366">
        <v>6552</v>
      </c>
      <c r="G15" s="115"/>
      <c r="H15" s="368">
        <v>4538</v>
      </c>
      <c r="I15" s="368">
        <v>191324</v>
      </c>
      <c r="J15" s="368">
        <f>I15*3.53%</f>
        <v>6753.7371999999996</v>
      </c>
      <c r="K15" s="368">
        <f>I15*4.31%</f>
        <v>8246.0643999999993</v>
      </c>
      <c r="L15" s="340">
        <f t="shared" ref="L15:L22" si="2">SUM(F15:K15)</f>
        <v>217413.80160000001</v>
      </c>
    </row>
    <row r="16" spans="1:15" ht="15.6" x14ac:dyDescent="0.25">
      <c r="A16" s="72"/>
      <c r="B16" s="76"/>
      <c r="C16" s="115"/>
      <c r="D16" s="115"/>
      <c r="E16" s="340">
        <f t="shared" si="0"/>
        <v>0</v>
      </c>
      <c r="F16" s="115"/>
      <c r="G16" s="115"/>
      <c r="H16" s="115"/>
      <c r="I16" s="115"/>
      <c r="J16" s="115"/>
      <c r="K16" s="115"/>
      <c r="L16" s="340">
        <f t="shared" si="2"/>
        <v>0</v>
      </c>
    </row>
    <row r="17" spans="1:12" ht="15.6" x14ac:dyDescent="0.25">
      <c r="A17" s="72"/>
      <c r="B17" s="76"/>
      <c r="C17" s="115"/>
      <c r="D17" s="115"/>
      <c r="E17" s="340">
        <f t="shared" si="0"/>
        <v>0</v>
      </c>
      <c r="F17" s="115"/>
      <c r="G17" s="115"/>
      <c r="H17" s="115"/>
      <c r="I17" s="115"/>
      <c r="J17" s="115"/>
      <c r="K17" s="115"/>
      <c r="L17" s="340">
        <f t="shared" si="2"/>
        <v>0</v>
      </c>
    </row>
    <row r="18" spans="1:12" ht="15.6" x14ac:dyDescent="0.25">
      <c r="A18" s="72"/>
      <c r="B18" s="76"/>
      <c r="C18" s="115"/>
      <c r="D18" s="115"/>
      <c r="E18" s="340">
        <f t="shared" si="0"/>
        <v>0</v>
      </c>
      <c r="F18" s="115"/>
      <c r="G18" s="115"/>
      <c r="H18" s="115"/>
      <c r="I18" s="115"/>
      <c r="J18" s="115"/>
      <c r="K18" s="115"/>
      <c r="L18" s="340">
        <f t="shared" si="2"/>
        <v>0</v>
      </c>
    </row>
    <row r="19" spans="1:12" ht="15.6" x14ac:dyDescent="0.25">
      <c r="A19" s="72"/>
      <c r="B19" s="76"/>
      <c r="C19" s="115"/>
      <c r="D19" s="115"/>
      <c r="E19" s="340">
        <f t="shared" si="0"/>
        <v>0</v>
      </c>
      <c r="F19" s="115"/>
      <c r="G19" s="115"/>
      <c r="H19" s="115"/>
      <c r="I19" s="115"/>
      <c r="J19" s="115"/>
      <c r="K19" s="115"/>
      <c r="L19" s="340">
        <f t="shared" si="2"/>
        <v>0</v>
      </c>
    </row>
    <row r="20" spans="1:12" ht="15.6" x14ac:dyDescent="0.25">
      <c r="A20" s="72"/>
      <c r="B20" s="76"/>
      <c r="C20" s="115"/>
      <c r="D20" s="115"/>
      <c r="E20" s="340">
        <f t="shared" si="0"/>
        <v>0</v>
      </c>
      <c r="F20" s="115"/>
      <c r="G20" s="115"/>
      <c r="H20" s="115"/>
      <c r="I20" s="115"/>
      <c r="J20" s="115"/>
      <c r="K20" s="115"/>
      <c r="L20" s="340">
        <f t="shared" si="2"/>
        <v>0</v>
      </c>
    </row>
    <row r="21" spans="1:12" ht="15.6" x14ac:dyDescent="0.25">
      <c r="A21" s="72"/>
      <c r="B21" s="76"/>
      <c r="C21" s="115"/>
      <c r="D21" s="115"/>
      <c r="E21" s="340">
        <f t="shared" si="0"/>
        <v>0</v>
      </c>
      <c r="F21" s="115"/>
      <c r="G21" s="115"/>
      <c r="H21" s="115"/>
      <c r="I21" s="115"/>
      <c r="J21" s="115"/>
      <c r="K21" s="115"/>
      <c r="L21" s="340">
        <f t="shared" si="2"/>
        <v>0</v>
      </c>
    </row>
    <row r="22" spans="1:12" ht="15.6" x14ac:dyDescent="0.25">
      <c r="A22" s="72"/>
      <c r="B22" s="76"/>
      <c r="C22" s="115"/>
      <c r="D22" s="115"/>
      <c r="E22" s="340">
        <f t="shared" si="0"/>
        <v>0</v>
      </c>
      <c r="F22" s="115"/>
      <c r="G22" s="115"/>
      <c r="H22" s="115"/>
      <c r="I22" s="115"/>
      <c r="J22" s="115"/>
      <c r="K22" s="115"/>
      <c r="L22" s="340">
        <f t="shared" si="2"/>
        <v>0</v>
      </c>
    </row>
    <row r="23" spans="1:12" s="322" customFormat="1" ht="15.6" x14ac:dyDescent="0.2">
      <c r="A23" s="332" t="s">
        <v>256</v>
      </c>
      <c r="B23" s="333">
        <f>SUM(B8:B22)</f>
        <v>8</v>
      </c>
      <c r="C23" s="334">
        <f t="shared" ref="C23:K23" si="3">SUM(C8:C22)</f>
        <v>630134.43999999994</v>
      </c>
      <c r="D23" s="334">
        <f t="shared" si="3"/>
        <v>399368</v>
      </c>
      <c r="E23" s="334">
        <f t="shared" si="3"/>
        <v>1029502.4400000001</v>
      </c>
      <c r="F23" s="334">
        <f t="shared" si="3"/>
        <v>27977.4</v>
      </c>
      <c r="G23" s="334">
        <f t="shared" si="3"/>
        <v>0</v>
      </c>
      <c r="H23" s="334">
        <f t="shared" si="3"/>
        <v>64755.54</v>
      </c>
      <c r="I23" s="334">
        <f t="shared" si="3"/>
        <v>864517.69848115405</v>
      </c>
      <c r="J23" s="334">
        <f t="shared" si="3"/>
        <v>32517.164883480757</v>
      </c>
      <c r="K23" s="334">
        <f t="shared" si="3"/>
        <v>39734.698235365373</v>
      </c>
      <c r="L23" s="334">
        <f>SUM(L8:L22)</f>
        <v>1029502.5016000001</v>
      </c>
    </row>
    <row r="24" spans="1:12" x14ac:dyDescent="0.2">
      <c r="A24" s="73"/>
      <c r="E24" s="341"/>
      <c r="L24" s="341"/>
    </row>
    <row r="25" spans="1:12" s="320" customFormat="1" ht="15.6" x14ac:dyDescent="0.3">
      <c r="A25" s="335" t="s">
        <v>188</v>
      </c>
      <c r="B25" s="325"/>
      <c r="C25" s="325"/>
      <c r="D25" s="325"/>
      <c r="E25" s="325"/>
      <c r="F25" s="434" t="s">
        <v>190</v>
      </c>
      <c r="G25" s="435"/>
      <c r="H25" s="435"/>
      <c r="I25" s="435"/>
      <c r="J25" s="435"/>
      <c r="K25" s="436"/>
      <c r="L25" s="326"/>
    </row>
    <row r="26" spans="1:12" s="321" customFormat="1" ht="62.4" x14ac:dyDescent="0.3">
      <c r="A26" s="330" t="s">
        <v>172</v>
      </c>
      <c r="B26" s="330" t="s">
        <v>149</v>
      </c>
      <c r="C26" s="330" t="s">
        <v>135</v>
      </c>
      <c r="D26" s="330" t="s">
        <v>136</v>
      </c>
      <c r="E26" s="331" t="s">
        <v>238</v>
      </c>
      <c r="F26" s="330" t="s">
        <v>137</v>
      </c>
      <c r="G26" s="330" t="s">
        <v>138</v>
      </c>
      <c r="H26" s="330" t="s">
        <v>139</v>
      </c>
      <c r="I26" s="330" t="s">
        <v>132</v>
      </c>
      <c r="J26" s="330" t="s">
        <v>133</v>
      </c>
      <c r="K26" s="330" t="s">
        <v>134</v>
      </c>
      <c r="L26" s="331" t="s">
        <v>140</v>
      </c>
    </row>
    <row r="27" spans="1:12" s="321" customFormat="1" ht="15.6" x14ac:dyDescent="0.2">
      <c r="A27" s="369" t="s">
        <v>318</v>
      </c>
      <c r="B27" s="369">
        <v>1</v>
      </c>
      <c r="C27" s="368">
        <v>69363</v>
      </c>
      <c r="D27" s="368">
        <v>46994</v>
      </c>
      <c r="E27" s="340">
        <f>SUM(C27:D27)</f>
        <v>116357</v>
      </c>
      <c r="F27" s="368">
        <v>0</v>
      </c>
      <c r="G27" s="368">
        <v>0</v>
      </c>
      <c r="H27" s="368">
        <v>0</v>
      </c>
      <c r="I27" s="368">
        <v>108251.17121224849</v>
      </c>
      <c r="J27" s="368">
        <v>3647.6229544881821</v>
      </c>
      <c r="K27" s="368">
        <v>4458.2058332633342</v>
      </c>
      <c r="L27" s="340">
        <f>SUM(F27:K27)</f>
        <v>116357</v>
      </c>
    </row>
    <row r="28" spans="1:12" s="321" customFormat="1" ht="15.6" x14ac:dyDescent="0.2">
      <c r="A28" s="369" t="s">
        <v>319</v>
      </c>
      <c r="B28" s="369">
        <v>1</v>
      </c>
      <c r="C28" s="368">
        <v>72311</v>
      </c>
      <c r="D28" s="368">
        <v>44192</v>
      </c>
      <c r="E28" s="340">
        <f t="shared" ref="E28:E42" si="4">SUM(C28:D28)</f>
        <v>116503</v>
      </c>
      <c r="F28" s="368"/>
      <c r="G28" s="368">
        <v>58251.5</v>
      </c>
      <c r="H28" s="368">
        <v>58251.5</v>
      </c>
      <c r="I28" s="368"/>
      <c r="J28" s="368"/>
      <c r="K28" s="368"/>
      <c r="L28" s="340">
        <f t="shared" ref="L28:L42" si="5">SUM(F28:K28)</f>
        <v>116503</v>
      </c>
    </row>
    <row r="29" spans="1:12" s="321" customFormat="1" ht="15.6" x14ac:dyDescent="0.2">
      <c r="A29" s="369" t="s">
        <v>320</v>
      </c>
      <c r="B29" s="369">
        <v>67</v>
      </c>
      <c r="C29" s="368">
        <v>3160553</v>
      </c>
      <c r="D29" s="368">
        <v>2311664</v>
      </c>
      <c r="E29" s="340">
        <f t="shared" si="4"/>
        <v>5472217</v>
      </c>
      <c r="F29" s="368"/>
      <c r="G29" s="368"/>
      <c r="H29" s="368">
        <v>-116090</v>
      </c>
      <c r="I29" s="368">
        <v>4707933</v>
      </c>
      <c r="J29" s="368">
        <v>396169</v>
      </c>
      <c r="K29" s="368">
        <v>484206</v>
      </c>
      <c r="L29" s="340">
        <f t="shared" si="5"/>
        <v>5472218</v>
      </c>
    </row>
    <row r="30" spans="1:12" s="321" customFormat="1" ht="15.6" x14ac:dyDescent="0.3">
      <c r="A30" s="369" t="s">
        <v>321</v>
      </c>
      <c r="B30" s="369">
        <v>87.8</v>
      </c>
      <c r="C30" s="368">
        <v>4857509</v>
      </c>
      <c r="D30" s="368">
        <v>3368089</v>
      </c>
      <c r="E30" s="340">
        <f t="shared" si="4"/>
        <v>8225598</v>
      </c>
      <c r="F30" s="371"/>
      <c r="G30" s="371"/>
      <c r="H30" s="368">
        <v>420590</v>
      </c>
      <c r="I30" s="368">
        <v>6565293.9557782849</v>
      </c>
      <c r="J30" s="368">
        <v>557871.32812265318</v>
      </c>
      <c r="K30" s="368">
        <v>681842.73437213164</v>
      </c>
      <c r="L30" s="340">
        <f t="shared" si="5"/>
        <v>8225598.0182730695</v>
      </c>
    </row>
    <row r="31" spans="1:12" s="321" customFormat="1" ht="15.6" x14ac:dyDescent="0.3">
      <c r="A31" s="370" t="s">
        <v>322</v>
      </c>
      <c r="B31" s="370">
        <v>42</v>
      </c>
      <c r="C31" s="368">
        <v>2576915</v>
      </c>
      <c r="D31" s="368">
        <v>1709388</v>
      </c>
      <c r="E31" s="340">
        <f t="shared" si="4"/>
        <v>4286303</v>
      </c>
      <c r="F31" s="371"/>
      <c r="G31" s="371"/>
      <c r="H31" s="368">
        <v>1756622</v>
      </c>
      <c r="I31" s="368">
        <v>1960555.8878713918</v>
      </c>
      <c r="J31" s="368">
        <v>256106.30943490632</v>
      </c>
      <c r="K31" s="368">
        <v>313018.82264266326</v>
      </c>
      <c r="L31" s="340">
        <f t="shared" si="5"/>
        <v>4286303.0199489612</v>
      </c>
    </row>
    <row r="32" spans="1:12" s="321" customFormat="1" ht="15.6" x14ac:dyDescent="0.3">
      <c r="A32" s="370" t="s">
        <v>323</v>
      </c>
      <c r="B32" s="370">
        <v>22</v>
      </c>
      <c r="C32" s="368">
        <v>917951</v>
      </c>
      <c r="D32" s="368">
        <v>721002</v>
      </c>
      <c r="E32" s="340">
        <f t="shared" si="4"/>
        <v>1638953</v>
      </c>
      <c r="F32" s="371"/>
      <c r="G32" s="371"/>
      <c r="H32" s="368">
        <v>38085.739127086126</v>
      </c>
      <c r="I32" s="368">
        <v>1358784.0760556785</v>
      </c>
      <c r="J32" s="368">
        <v>108937.43316775598</v>
      </c>
      <c r="K32" s="368">
        <v>133145.75164947956</v>
      </c>
      <c r="L32" s="340">
        <f t="shared" si="5"/>
        <v>1638953.0000000002</v>
      </c>
    </row>
    <row r="33" spans="1:12" s="321" customFormat="1" ht="15.6" x14ac:dyDescent="0.3">
      <c r="A33" s="370" t="s">
        <v>324</v>
      </c>
      <c r="B33" s="370">
        <v>1</v>
      </c>
      <c r="C33" s="368">
        <v>56376</v>
      </c>
      <c r="D33" s="368">
        <v>41116</v>
      </c>
      <c r="E33" s="340">
        <f t="shared" si="4"/>
        <v>97492</v>
      </c>
      <c r="F33" s="371"/>
      <c r="G33" s="371"/>
      <c r="H33" s="368">
        <v>97492</v>
      </c>
      <c r="I33" s="372"/>
      <c r="J33" s="372"/>
      <c r="K33" s="372"/>
      <c r="L33" s="340">
        <f t="shared" si="5"/>
        <v>97492</v>
      </c>
    </row>
    <row r="34" spans="1:12" s="321" customFormat="1" ht="15.6" x14ac:dyDescent="0.3">
      <c r="A34" s="370" t="s">
        <v>325</v>
      </c>
      <c r="B34" s="370">
        <v>6</v>
      </c>
      <c r="C34" s="368">
        <v>408694</v>
      </c>
      <c r="D34" s="368">
        <v>270015</v>
      </c>
      <c r="E34" s="340">
        <f t="shared" si="4"/>
        <v>678709</v>
      </c>
      <c r="F34" s="371"/>
      <c r="G34" s="371"/>
      <c r="H34" s="368">
        <v>184634</v>
      </c>
      <c r="I34" s="368">
        <v>402062.89459165459</v>
      </c>
      <c r="J34" s="368">
        <v>41405.330433755422</v>
      </c>
      <c r="K34" s="368">
        <v>50606.514974589962</v>
      </c>
      <c r="L34" s="340">
        <f t="shared" si="5"/>
        <v>678708.74</v>
      </c>
    </row>
    <row r="35" spans="1:12" s="321" customFormat="1" ht="15.6" x14ac:dyDescent="0.3">
      <c r="A35" s="370" t="s">
        <v>326</v>
      </c>
      <c r="B35" s="370">
        <v>6</v>
      </c>
      <c r="C35" s="368">
        <v>296384</v>
      </c>
      <c r="D35" s="368">
        <v>218542</v>
      </c>
      <c r="E35" s="340">
        <f t="shared" si="4"/>
        <v>514926</v>
      </c>
      <c r="F35" s="368">
        <v>12663.57</v>
      </c>
      <c r="G35" s="371"/>
      <c r="H35" s="368">
        <v>130798</v>
      </c>
      <c r="I35" s="368">
        <v>295502.30000000005</v>
      </c>
      <c r="J35" s="368">
        <v>34183.089</v>
      </c>
      <c r="K35" s="368">
        <v>41779.331000000006</v>
      </c>
      <c r="L35" s="340">
        <f t="shared" si="5"/>
        <v>514926.29000000004</v>
      </c>
    </row>
    <row r="36" spans="1:12" s="321" customFormat="1" ht="15.6" x14ac:dyDescent="0.3">
      <c r="A36" s="370" t="s">
        <v>327</v>
      </c>
      <c r="B36" s="370">
        <v>3</v>
      </c>
      <c r="C36" s="368">
        <v>251302</v>
      </c>
      <c r="D36" s="368">
        <v>155101</v>
      </c>
      <c r="E36" s="340">
        <f t="shared" si="4"/>
        <v>406403</v>
      </c>
      <c r="F36" s="371"/>
      <c r="G36" s="371"/>
      <c r="H36" s="368">
        <v>243841.8</v>
      </c>
      <c r="I36" s="368">
        <v>132287.32685320624</v>
      </c>
      <c r="J36" s="368">
        <v>13623.242916057201</v>
      </c>
      <c r="K36" s="368">
        <v>16650.63023073658</v>
      </c>
      <c r="L36" s="340">
        <f t="shared" si="5"/>
        <v>406402.99999999994</v>
      </c>
    </row>
    <row r="37" spans="1:12" s="321" customFormat="1" ht="15.6" x14ac:dyDescent="0.3">
      <c r="A37" s="370" t="s">
        <v>328</v>
      </c>
      <c r="B37" s="370">
        <v>2</v>
      </c>
      <c r="C37" s="368">
        <v>116704</v>
      </c>
      <c r="D37" s="368">
        <v>76178</v>
      </c>
      <c r="E37" s="340">
        <f t="shared" si="4"/>
        <v>192882</v>
      </c>
      <c r="F37" s="368">
        <v>86706.900000000009</v>
      </c>
      <c r="G37" s="371"/>
      <c r="H37" s="368">
        <v>9634</v>
      </c>
      <c r="I37" s="368">
        <v>78562.109665377604</v>
      </c>
      <c r="J37" s="368">
        <v>8090.5006505800766</v>
      </c>
      <c r="K37" s="368">
        <v>9888.3896840423167</v>
      </c>
      <c r="L37" s="340">
        <f t="shared" si="5"/>
        <v>192881.9</v>
      </c>
    </row>
    <row r="38" spans="1:12" s="321" customFormat="1" ht="15.6" x14ac:dyDescent="0.3">
      <c r="A38" s="370" t="s">
        <v>329</v>
      </c>
      <c r="B38" s="370">
        <v>5</v>
      </c>
      <c r="C38" s="368">
        <v>338337</v>
      </c>
      <c r="D38" s="368">
        <v>217995</v>
      </c>
      <c r="E38" s="340">
        <f t="shared" si="4"/>
        <v>556332</v>
      </c>
      <c r="F38" s="368"/>
      <c r="G38" s="371"/>
      <c r="H38" s="368">
        <v>556332</v>
      </c>
      <c r="I38" s="368"/>
      <c r="J38" s="368"/>
      <c r="K38" s="368"/>
      <c r="L38" s="340">
        <f t="shared" si="5"/>
        <v>556332</v>
      </c>
    </row>
    <row r="39" spans="1:12" s="321" customFormat="1" ht="15.6" x14ac:dyDescent="0.3">
      <c r="A39" s="370" t="s">
        <v>330</v>
      </c>
      <c r="B39" s="370">
        <v>3</v>
      </c>
      <c r="C39" s="368">
        <v>154965</v>
      </c>
      <c r="D39" s="368">
        <v>109995</v>
      </c>
      <c r="E39" s="340">
        <f t="shared" si="4"/>
        <v>264960</v>
      </c>
      <c r="F39" s="371"/>
      <c r="G39" s="371"/>
      <c r="H39" s="372"/>
      <c r="I39" s="368">
        <v>212981.16488999088</v>
      </c>
      <c r="J39" s="368">
        <v>23390.475799504104</v>
      </c>
      <c r="K39" s="368">
        <v>28588.359310505017</v>
      </c>
      <c r="L39" s="340">
        <f t="shared" si="5"/>
        <v>264960</v>
      </c>
    </row>
    <row r="40" spans="1:12" s="321" customFormat="1" ht="15.6" x14ac:dyDescent="0.3">
      <c r="A40" s="370" t="s">
        <v>331</v>
      </c>
      <c r="B40" s="370">
        <v>25</v>
      </c>
      <c r="C40" s="368">
        <v>1595121</v>
      </c>
      <c r="D40" s="368">
        <v>1058904</v>
      </c>
      <c r="E40" s="340">
        <f t="shared" si="4"/>
        <v>2654025</v>
      </c>
      <c r="F40" s="371"/>
      <c r="G40" s="371"/>
      <c r="H40" s="373"/>
      <c r="I40" s="368">
        <v>2145444.2774018687</v>
      </c>
      <c r="J40" s="368">
        <v>228861.32516915907</v>
      </c>
      <c r="K40" s="368">
        <v>279719.39742897224</v>
      </c>
      <c r="L40" s="340">
        <f t="shared" si="5"/>
        <v>2654025</v>
      </c>
    </row>
    <row r="41" spans="1:12" s="321" customFormat="1" ht="15.6" x14ac:dyDescent="0.3">
      <c r="A41" s="370" t="s">
        <v>332</v>
      </c>
      <c r="B41" s="370">
        <v>38</v>
      </c>
      <c r="C41" s="368">
        <v>1493470</v>
      </c>
      <c r="D41" s="368">
        <v>1196983</v>
      </c>
      <c r="E41" s="340">
        <f t="shared" si="4"/>
        <v>2690453</v>
      </c>
      <c r="F41" s="371"/>
      <c r="G41" s="368">
        <v>41679.480000000003</v>
      </c>
      <c r="H41" s="368">
        <v>149909</v>
      </c>
      <c r="I41" s="368">
        <v>1934277.3614307572</v>
      </c>
      <c r="J41" s="368">
        <v>257450.47284222691</v>
      </c>
      <c r="K41" s="368">
        <v>307136.20570788044</v>
      </c>
      <c r="L41" s="340">
        <f t="shared" si="5"/>
        <v>2690452.5199808646</v>
      </c>
    </row>
    <row r="42" spans="1:12" s="321" customFormat="1" ht="15.6" x14ac:dyDescent="0.2">
      <c r="A42" s="370" t="s">
        <v>333</v>
      </c>
      <c r="B42" s="370">
        <v>11</v>
      </c>
      <c r="C42" s="368">
        <v>504237</v>
      </c>
      <c r="D42" s="368">
        <v>369452</v>
      </c>
      <c r="E42" s="340">
        <f t="shared" si="4"/>
        <v>873689</v>
      </c>
      <c r="F42" s="368">
        <v>2233.4899999999998</v>
      </c>
      <c r="G42" s="368">
        <v>27215.040000000001</v>
      </c>
      <c r="H42" s="368">
        <v>61545</v>
      </c>
      <c r="I42" s="368">
        <v>540038.86356295284</v>
      </c>
      <c r="J42" s="368">
        <v>198263.55939460266</v>
      </c>
      <c r="K42" s="368">
        <v>44392.797037847711</v>
      </c>
      <c r="L42" s="340">
        <f t="shared" si="5"/>
        <v>873688.74999540322</v>
      </c>
    </row>
    <row r="43" spans="1:12" s="321" customFormat="1" ht="15.6" x14ac:dyDescent="0.3">
      <c r="A43" s="370" t="s">
        <v>334</v>
      </c>
      <c r="B43" s="370">
        <v>0.6</v>
      </c>
      <c r="C43" s="368">
        <v>39325</v>
      </c>
      <c r="D43" s="368">
        <v>26702</v>
      </c>
      <c r="E43" s="340">
        <f>SUM(C43:D43)</f>
        <v>66027</v>
      </c>
      <c r="F43" s="371"/>
      <c r="G43" s="371"/>
      <c r="H43" s="368">
        <v>66027</v>
      </c>
      <c r="I43" s="372"/>
      <c r="J43" s="372"/>
      <c r="K43" s="372"/>
      <c r="L43" s="340">
        <f>SUM(F43:K43)</f>
        <v>66027</v>
      </c>
    </row>
    <row r="44" spans="1:12" s="321" customFormat="1" ht="15.6" x14ac:dyDescent="0.3">
      <c r="A44" s="370" t="s">
        <v>335</v>
      </c>
      <c r="B44" s="370">
        <v>3</v>
      </c>
      <c r="C44" s="368">
        <v>329824</v>
      </c>
      <c r="D44" s="368">
        <v>199376</v>
      </c>
      <c r="E44" s="340">
        <f t="shared" ref="E44:E54" si="6">SUM(C44:D44)</f>
        <v>529200</v>
      </c>
      <c r="F44" s="371"/>
      <c r="G44" s="371"/>
      <c r="H44" s="368">
        <v>186386</v>
      </c>
      <c r="I44" s="368">
        <v>255780.20410457868</v>
      </c>
      <c r="J44" s="368">
        <v>39165.10465293959</v>
      </c>
      <c r="K44" s="368">
        <v>47868.461242481724</v>
      </c>
      <c r="L44" s="340">
        <f t="shared" ref="L44:L54" si="7">SUM(F44:K44)</f>
        <v>529199.77</v>
      </c>
    </row>
    <row r="45" spans="1:12" s="321" customFormat="1" ht="15.6" x14ac:dyDescent="0.3">
      <c r="A45" s="370" t="s">
        <v>336</v>
      </c>
      <c r="B45" s="370">
        <v>2</v>
      </c>
      <c r="C45" s="368">
        <v>231106</v>
      </c>
      <c r="D45" s="368">
        <v>138108</v>
      </c>
      <c r="E45" s="340">
        <f t="shared" si="6"/>
        <v>369214</v>
      </c>
      <c r="F45" s="368">
        <v>138455.25</v>
      </c>
      <c r="G45" s="371"/>
      <c r="H45" s="368">
        <v>46151.75</v>
      </c>
      <c r="I45" s="368">
        <v>171746.64149109685</v>
      </c>
      <c r="J45" s="368">
        <v>5787.1613290064188</v>
      </c>
      <c r="K45" s="368">
        <v>7073.1971798967352</v>
      </c>
      <c r="L45" s="340">
        <f t="shared" si="7"/>
        <v>369214</v>
      </c>
    </row>
    <row r="46" spans="1:12" s="321" customFormat="1" ht="15.6" x14ac:dyDescent="0.3">
      <c r="A46" s="370" t="s">
        <v>337</v>
      </c>
      <c r="B46" s="370">
        <v>18</v>
      </c>
      <c r="C46" s="368">
        <v>1444470</v>
      </c>
      <c r="D46" s="368">
        <v>923310</v>
      </c>
      <c r="E46" s="340">
        <f t="shared" si="6"/>
        <v>2367780</v>
      </c>
      <c r="F46" s="371"/>
      <c r="G46" s="371"/>
      <c r="H46" s="368">
        <v>233807</v>
      </c>
      <c r="I46" s="368">
        <v>1805430</v>
      </c>
      <c r="J46" s="368">
        <v>147844.41446140423</v>
      </c>
      <c r="K46" s="368">
        <v>180698.72878616073</v>
      </c>
      <c r="L46" s="340">
        <f t="shared" si="7"/>
        <v>2367780.1432475648</v>
      </c>
    </row>
    <row r="47" spans="1:12" s="321" customFormat="1" ht="15.6" x14ac:dyDescent="0.3">
      <c r="A47" s="370" t="s">
        <v>338</v>
      </c>
      <c r="B47" s="370">
        <v>3.8</v>
      </c>
      <c r="C47" s="368">
        <v>235640</v>
      </c>
      <c r="D47" s="368">
        <v>157746</v>
      </c>
      <c r="E47" s="340">
        <f t="shared" si="6"/>
        <v>393386</v>
      </c>
      <c r="F47" s="371"/>
      <c r="G47" s="371"/>
      <c r="H47" s="368">
        <v>260465</v>
      </c>
      <c r="I47" s="368">
        <v>18470</v>
      </c>
      <c r="J47" s="368">
        <v>104292.565</v>
      </c>
      <c r="K47" s="368">
        <v>10158.335000000001</v>
      </c>
      <c r="L47" s="340">
        <f t="shared" si="7"/>
        <v>393385.9</v>
      </c>
    </row>
    <row r="48" spans="1:12" s="321" customFormat="1" ht="15.6" x14ac:dyDescent="0.3">
      <c r="A48" s="370" t="s">
        <v>339</v>
      </c>
      <c r="B48" s="370">
        <v>9</v>
      </c>
      <c r="C48" s="368">
        <v>859062</v>
      </c>
      <c r="D48" s="368">
        <v>519490</v>
      </c>
      <c r="E48" s="340">
        <f t="shared" si="6"/>
        <v>1378552</v>
      </c>
      <c r="F48" s="368">
        <v>15231</v>
      </c>
      <c r="G48" s="371"/>
      <c r="H48" s="368">
        <v>259180</v>
      </c>
      <c r="I48" s="368">
        <v>949364.7395885376</v>
      </c>
      <c r="J48" s="368">
        <v>69649.120059291934</v>
      </c>
      <c r="K48" s="368">
        <v>85126.702294690156</v>
      </c>
      <c r="L48" s="340">
        <f t="shared" si="7"/>
        <v>1378551.5619425196</v>
      </c>
    </row>
    <row r="49" spans="1:12" s="321" customFormat="1" ht="15.6" x14ac:dyDescent="0.2">
      <c r="A49" s="370" t="s">
        <v>340</v>
      </c>
      <c r="B49" s="370">
        <v>15.9</v>
      </c>
      <c r="C49" s="368">
        <v>963284</v>
      </c>
      <c r="D49" s="368">
        <v>637968</v>
      </c>
      <c r="E49" s="340">
        <f t="shared" si="6"/>
        <v>1601252</v>
      </c>
      <c r="F49" s="368">
        <v>217858.36</v>
      </c>
      <c r="G49" s="368">
        <v>37460.28</v>
      </c>
      <c r="H49" s="368">
        <v>390579</v>
      </c>
      <c r="I49" s="368">
        <v>677946.3092399434</v>
      </c>
      <c r="J49" s="368">
        <v>124833.46984202547</v>
      </c>
      <c r="K49" s="368">
        <v>152574.24091803114</v>
      </c>
      <c r="L49" s="340">
        <f t="shared" si="7"/>
        <v>1601251.6600000001</v>
      </c>
    </row>
    <row r="50" spans="1:12" s="321" customFormat="1" ht="15.6" x14ac:dyDescent="0.3">
      <c r="A50" s="370" t="s">
        <v>341</v>
      </c>
      <c r="B50" s="370">
        <v>4.8</v>
      </c>
      <c r="C50" s="368">
        <v>200458</v>
      </c>
      <c r="D50" s="368">
        <v>124055</v>
      </c>
      <c r="E50" s="340">
        <f t="shared" si="6"/>
        <v>324513</v>
      </c>
      <c r="F50" s="368">
        <v>3505</v>
      </c>
      <c r="G50" s="371"/>
      <c r="H50" s="368">
        <v>280839</v>
      </c>
      <c r="I50" s="368">
        <v>20083</v>
      </c>
      <c r="J50" s="368">
        <v>9038.744999999999</v>
      </c>
      <c r="K50" s="368">
        <v>11047.355</v>
      </c>
      <c r="L50" s="340">
        <f t="shared" si="7"/>
        <v>324513.09999999998</v>
      </c>
    </row>
    <row r="51" spans="1:12" s="321" customFormat="1" ht="15.6" x14ac:dyDescent="0.3">
      <c r="A51" s="370" t="s">
        <v>342</v>
      </c>
      <c r="B51" s="370">
        <v>3.5</v>
      </c>
      <c r="C51" s="368">
        <v>163717</v>
      </c>
      <c r="D51" s="368">
        <v>118800</v>
      </c>
      <c r="E51" s="340">
        <f t="shared" si="6"/>
        <v>282517</v>
      </c>
      <c r="F51" s="371"/>
      <c r="G51" s="371"/>
      <c r="H51" s="368">
        <v>186714</v>
      </c>
      <c r="I51" s="368">
        <v>83179</v>
      </c>
      <c r="J51" s="368">
        <v>9039</v>
      </c>
      <c r="K51" s="368">
        <v>3585</v>
      </c>
      <c r="L51" s="340">
        <f t="shared" si="7"/>
        <v>282517</v>
      </c>
    </row>
    <row r="52" spans="1:12" s="321" customFormat="1" ht="15.6" x14ac:dyDescent="0.3">
      <c r="A52" s="370" t="s">
        <v>343</v>
      </c>
      <c r="B52" s="370">
        <v>5</v>
      </c>
      <c r="C52" s="368">
        <v>281575</v>
      </c>
      <c r="D52" s="368">
        <v>186521</v>
      </c>
      <c r="E52" s="342">
        <f t="shared" si="6"/>
        <v>468096</v>
      </c>
      <c r="F52" s="371"/>
      <c r="G52" s="371"/>
      <c r="H52" s="368">
        <v>468096</v>
      </c>
      <c r="I52" s="372"/>
      <c r="J52" s="372"/>
      <c r="K52" s="372"/>
      <c r="L52" s="340">
        <f t="shared" si="7"/>
        <v>468096</v>
      </c>
    </row>
    <row r="53" spans="1:12" s="321" customFormat="1" ht="15.6" x14ac:dyDescent="0.3">
      <c r="A53" s="188"/>
      <c r="B53" s="186"/>
      <c r="C53" s="187"/>
      <c r="D53" s="187"/>
      <c r="E53" s="340">
        <f t="shared" si="6"/>
        <v>0</v>
      </c>
      <c r="F53" s="187"/>
      <c r="G53" s="187"/>
      <c r="H53" s="187"/>
      <c r="I53" s="187"/>
      <c r="J53" s="187"/>
      <c r="K53" s="187"/>
      <c r="L53" s="340">
        <f t="shared" si="7"/>
        <v>0</v>
      </c>
    </row>
    <row r="54" spans="1:12" s="321" customFormat="1" ht="15.6" x14ac:dyDescent="0.3">
      <c r="A54" s="188"/>
      <c r="B54" s="186"/>
      <c r="C54" s="187"/>
      <c r="D54" s="187"/>
      <c r="E54" s="340">
        <f t="shared" si="6"/>
        <v>0</v>
      </c>
      <c r="F54" s="187"/>
      <c r="G54" s="187"/>
      <c r="H54" s="187"/>
      <c r="I54" s="187"/>
      <c r="J54" s="187"/>
      <c r="K54" s="187"/>
      <c r="L54" s="340">
        <f t="shared" si="7"/>
        <v>0</v>
      </c>
    </row>
    <row r="55" spans="1:12" s="321" customFormat="1" ht="15.6" x14ac:dyDescent="0.3">
      <c r="A55" s="188"/>
      <c r="B55" s="186"/>
      <c r="C55" s="187"/>
      <c r="D55" s="187"/>
      <c r="E55" s="340">
        <f>SUM(C55:D55)</f>
        <v>0</v>
      </c>
      <c r="F55" s="187"/>
      <c r="G55" s="187"/>
      <c r="H55" s="187"/>
      <c r="I55" s="187"/>
      <c r="J55" s="187"/>
      <c r="K55" s="187"/>
      <c r="L55" s="340">
        <f>SUM(F55:K55)</f>
        <v>0</v>
      </c>
    </row>
    <row r="56" spans="1:12" s="321" customFormat="1" ht="15.6" x14ac:dyDescent="0.3">
      <c r="A56" s="188"/>
      <c r="B56" s="186"/>
      <c r="C56" s="187"/>
      <c r="D56" s="187"/>
      <c r="E56" s="340">
        <f>SUM(C56:D56)</f>
        <v>0</v>
      </c>
      <c r="F56" s="187"/>
      <c r="G56" s="187"/>
      <c r="H56" s="187"/>
      <c r="I56" s="187"/>
      <c r="J56" s="187"/>
      <c r="K56" s="187"/>
      <c r="L56" s="340">
        <f>SUM(F56:K56)</f>
        <v>0</v>
      </c>
    </row>
    <row r="57" spans="1:12" s="321" customFormat="1" ht="15.6" x14ac:dyDescent="0.3">
      <c r="A57" s="188"/>
      <c r="B57" s="186"/>
      <c r="C57" s="187"/>
      <c r="D57" s="187"/>
      <c r="E57" s="340">
        <f>SUM(C57:D57)</f>
        <v>0</v>
      </c>
      <c r="F57" s="187"/>
      <c r="G57" s="187"/>
      <c r="H57" s="187"/>
      <c r="I57" s="187"/>
      <c r="J57" s="187"/>
      <c r="K57" s="187"/>
      <c r="L57" s="340">
        <f>SUM(F57:K57)</f>
        <v>0</v>
      </c>
    </row>
    <row r="58" spans="1:12" s="321" customFormat="1" ht="15.6" x14ac:dyDescent="0.3">
      <c r="A58" s="188"/>
      <c r="B58" s="186"/>
      <c r="C58" s="187"/>
      <c r="D58" s="187"/>
      <c r="E58" s="340">
        <f>SUM(C58:D58)</f>
        <v>0</v>
      </c>
      <c r="F58" s="187"/>
      <c r="G58" s="187"/>
      <c r="H58" s="187"/>
      <c r="I58" s="187"/>
      <c r="J58" s="187"/>
      <c r="K58" s="187"/>
      <c r="L58" s="340">
        <f>SUM(F58:K58)</f>
        <v>0</v>
      </c>
    </row>
    <row r="59" spans="1:12" s="321" customFormat="1" ht="15.6" x14ac:dyDescent="0.3">
      <c r="A59" s="188"/>
      <c r="B59" s="186"/>
      <c r="C59" s="187"/>
      <c r="D59" s="187"/>
      <c r="E59" s="340">
        <f t="shared" ref="E59:E71" si="8">SUM(C59:D59)</f>
        <v>0</v>
      </c>
      <c r="F59" s="187"/>
      <c r="G59" s="187"/>
      <c r="H59" s="187"/>
      <c r="I59" s="187"/>
      <c r="J59" s="187"/>
      <c r="K59" s="187"/>
      <c r="L59" s="340">
        <f t="shared" ref="L59:L71" si="9">SUM(F59:K59)</f>
        <v>0</v>
      </c>
    </row>
    <row r="60" spans="1:12" s="321" customFormat="1" ht="15.6" x14ac:dyDescent="0.3">
      <c r="A60" s="186"/>
      <c r="B60" s="186"/>
      <c r="C60" s="187"/>
      <c r="D60" s="187"/>
      <c r="E60" s="340">
        <f t="shared" si="8"/>
        <v>0</v>
      </c>
      <c r="F60" s="187"/>
      <c r="G60" s="187"/>
      <c r="H60" s="187"/>
      <c r="I60" s="187"/>
      <c r="J60" s="187"/>
      <c r="K60" s="187"/>
      <c r="L60" s="340">
        <f t="shared" si="9"/>
        <v>0</v>
      </c>
    </row>
    <row r="61" spans="1:12" s="321" customFormat="1" ht="15.6" x14ac:dyDescent="0.3">
      <c r="A61" s="186"/>
      <c r="B61" s="186"/>
      <c r="C61" s="187"/>
      <c r="D61" s="187"/>
      <c r="E61" s="340">
        <f t="shared" si="8"/>
        <v>0</v>
      </c>
      <c r="F61" s="187"/>
      <c r="G61" s="187"/>
      <c r="H61" s="187"/>
      <c r="I61" s="187"/>
      <c r="J61" s="187"/>
      <c r="K61" s="187"/>
      <c r="L61" s="340">
        <f t="shared" si="9"/>
        <v>0</v>
      </c>
    </row>
    <row r="62" spans="1:12" s="321" customFormat="1" ht="15.6" x14ac:dyDescent="0.3">
      <c r="A62" s="186"/>
      <c r="B62" s="186"/>
      <c r="C62" s="187"/>
      <c r="D62" s="187"/>
      <c r="E62" s="340">
        <f t="shared" si="8"/>
        <v>0</v>
      </c>
      <c r="F62" s="187"/>
      <c r="G62" s="187"/>
      <c r="H62" s="187"/>
      <c r="I62" s="187"/>
      <c r="J62" s="187"/>
      <c r="K62" s="187"/>
      <c r="L62" s="340">
        <f t="shared" si="9"/>
        <v>0</v>
      </c>
    </row>
    <row r="63" spans="1:12" s="321" customFormat="1" ht="15.6" x14ac:dyDescent="0.3">
      <c r="A63" s="186"/>
      <c r="B63" s="186"/>
      <c r="C63" s="187"/>
      <c r="D63" s="187"/>
      <c r="E63" s="340">
        <f t="shared" si="8"/>
        <v>0</v>
      </c>
      <c r="F63" s="187"/>
      <c r="G63" s="187"/>
      <c r="H63" s="187"/>
      <c r="I63" s="187"/>
      <c r="J63" s="187"/>
      <c r="K63" s="187"/>
      <c r="L63" s="340">
        <f t="shared" si="9"/>
        <v>0</v>
      </c>
    </row>
    <row r="64" spans="1:12" s="321" customFormat="1" ht="15.6" x14ac:dyDescent="0.3">
      <c r="A64" s="186"/>
      <c r="B64" s="186"/>
      <c r="C64" s="187"/>
      <c r="D64" s="187"/>
      <c r="E64" s="340">
        <f t="shared" si="8"/>
        <v>0</v>
      </c>
      <c r="F64" s="187"/>
      <c r="G64" s="187"/>
      <c r="H64" s="187"/>
      <c r="I64" s="187"/>
      <c r="J64" s="187"/>
      <c r="K64" s="187"/>
      <c r="L64" s="340">
        <f t="shared" si="9"/>
        <v>0</v>
      </c>
    </row>
    <row r="65" spans="1:12" s="321" customFormat="1" ht="15.6" x14ac:dyDescent="0.3">
      <c r="A65" s="186"/>
      <c r="B65" s="186"/>
      <c r="C65" s="187"/>
      <c r="D65" s="187"/>
      <c r="E65" s="340">
        <f t="shared" si="8"/>
        <v>0</v>
      </c>
      <c r="F65" s="187"/>
      <c r="G65" s="187"/>
      <c r="H65" s="187"/>
      <c r="I65" s="187"/>
      <c r="J65" s="187"/>
      <c r="K65" s="187"/>
      <c r="L65" s="340">
        <f t="shared" si="9"/>
        <v>0</v>
      </c>
    </row>
    <row r="66" spans="1:12" s="321" customFormat="1" ht="15.6" x14ac:dyDescent="0.3">
      <c r="A66" s="186"/>
      <c r="B66" s="186"/>
      <c r="C66" s="187"/>
      <c r="D66" s="187"/>
      <c r="E66" s="340">
        <f t="shared" si="8"/>
        <v>0</v>
      </c>
      <c r="F66" s="187"/>
      <c r="G66" s="187"/>
      <c r="H66" s="187"/>
      <c r="I66" s="187"/>
      <c r="J66" s="187"/>
      <c r="K66" s="187"/>
      <c r="L66" s="340">
        <f t="shared" si="9"/>
        <v>0</v>
      </c>
    </row>
    <row r="67" spans="1:12" s="321" customFormat="1" ht="15.6" x14ac:dyDescent="0.3">
      <c r="A67" s="186"/>
      <c r="B67" s="186"/>
      <c r="C67" s="187"/>
      <c r="D67" s="187"/>
      <c r="E67" s="340">
        <f t="shared" si="8"/>
        <v>0</v>
      </c>
      <c r="F67" s="187"/>
      <c r="G67" s="187"/>
      <c r="H67" s="187"/>
      <c r="I67" s="187"/>
      <c r="J67" s="187"/>
      <c r="K67" s="187"/>
      <c r="L67" s="340">
        <f t="shared" si="9"/>
        <v>0</v>
      </c>
    </row>
    <row r="68" spans="1:12" s="321" customFormat="1" ht="15.6" x14ac:dyDescent="0.3">
      <c r="A68" s="186"/>
      <c r="B68" s="186"/>
      <c r="C68" s="187"/>
      <c r="D68" s="187"/>
      <c r="E68" s="340">
        <f t="shared" si="8"/>
        <v>0</v>
      </c>
      <c r="F68" s="187"/>
      <c r="G68" s="187"/>
      <c r="H68" s="187"/>
      <c r="I68" s="187"/>
      <c r="J68" s="187"/>
      <c r="K68" s="187"/>
      <c r="L68" s="340">
        <f t="shared" si="9"/>
        <v>0</v>
      </c>
    </row>
    <row r="69" spans="1:12" s="321" customFormat="1" ht="15.6" x14ac:dyDescent="0.3">
      <c r="A69" s="186"/>
      <c r="B69" s="186"/>
      <c r="C69" s="187"/>
      <c r="D69" s="187"/>
      <c r="E69" s="340">
        <f t="shared" si="8"/>
        <v>0</v>
      </c>
      <c r="F69" s="187"/>
      <c r="G69" s="187"/>
      <c r="H69" s="187"/>
      <c r="I69" s="187"/>
      <c r="J69" s="187"/>
      <c r="K69" s="187"/>
      <c r="L69" s="340">
        <f t="shared" si="9"/>
        <v>0</v>
      </c>
    </row>
    <row r="70" spans="1:12" s="321" customFormat="1" ht="15.6" x14ac:dyDescent="0.3">
      <c r="A70" s="186"/>
      <c r="B70" s="186"/>
      <c r="C70" s="187"/>
      <c r="D70" s="187"/>
      <c r="E70" s="340">
        <f t="shared" si="8"/>
        <v>0</v>
      </c>
      <c r="F70" s="187"/>
      <c r="G70" s="187"/>
      <c r="H70" s="187"/>
      <c r="I70" s="187"/>
      <c r="J70" s="187"/>
      <c r="K70" s="187"/>
      <c r="L70" s="340">
        <f t="shared" si="9"/>
        <v>0</v>
      </c>
    </row>
    <row r="71" spans="1:12" s="321" customFormat="1" ht="15.6" x14ac:dyDescent="0.3">
      <c r="A71" s="186"/>
      <c r="B71" s="186"/>
      <c r="C71" s="187"/>
      <c r="D71" s="187"/>
      <c r="E71" s="340">
        <f t="shared" si="8"/>
        <v>0</v>
      </c>
      <c r="F71" s="187"/>
      <c r="G71" s="187"/>
      <c r="H71" s="187"/>
      <c r="I71" s="187"/>
      <c r="J71" s="187"/>
      <c r="K71" s="187"/>
      <c r="L71" s="340">
        <f t="shared" si="9"/>
        <v>0</v>
      </c>
    </row>
    <row r="72" spans="1:12" s="321" customFormat="1" ht="15.6" x14ac:dyDescent="0.3">
      <c r="A72" s="186"/>
      <c r="B72" s="186"/>
      <c r="C72" s="187"/>
      <c r="D72" s="187"/>
      <c r="E72" s="340">
        <f t="shared" ref="E72:E83" si="10">SUM(C72:D72)</f>
        <v>0</v>
      </c>
      <c r="F72" s="187"/>
      <c r="G72" s="187"/>
      <c r="H72" s="187"/>
      <c r="I72" s="187"/>
      <c r="J72" s="187"/>
      <c r="K72" s="187"/>
      <c r="L72" s="340">
        <f t="shared" ref="L72:L83" si="11">SUM(F72:K72)</f>
        <v>0</v>
      </c>
    </row>
    <row r="73" spans="1:12" s="321" customFormat="1" ht="15.6" x14ac:dyDescent="0.3">
      <c r="A73" s="186"/>
      <c r="B73" s="186"/>
      <c r="C73" s="187"/>
      <c r="D73" s="187"/>
      <c r="E73" s="340">
        <f t="shared" si="10"/>
        <v>0</v>
      </c>
      <c r="F73" s="187"/>
      <c r="G73" s="187"/>
      <c r="H73" s="187"/>
      <c r="I73" s="187"/>
      <c r="J73" s="187"/>
      <c r="K73" s="187"/>
      <c r="L73" s="340">
        <f t="shared" si="11"/>
        <v>0</v>
      </c>
    </row>
    <row r="74" spans="1:12" s="321" customFormat="1" ht="15.6" x14ac:dyDescent="0.3">
      <c r="A74" s="186"/>
      <c r="B74" s="186"/>
      <c r="C74" s="187"/>
      <c r="D74" s="187"/>
      <c r="E74" s="340">
        <f t="shared" si="10"/>
        <v>0</v>
      </c>
      <c r="F74" s="187"/>
      <c r="G74" s="187"/>
      <c r="H74" s="187"/>
      <c r="I74" s="187"/>
      <c r="J74" s="187"/>
      <c r="K74" s="187"/>
      <c r="L74" s="340">
        <f t="shared" si="11"/>
        <v>0</v>
      </c>
    </row>
    <row r="75" spans="1:12" s="321" customFormat="1" ht="15.6" x14ac:dyDescent="0.3">
      <c r="A75" s="186"/>
      <c r="B75" s="186"/>
      <c r="C75" s="187"/>
      <c r="D75" s="187"/>
      <c r="E75" s="340">
        <f t="shared" si="10"/>
        <v>0</v>
      </c>
      <c r="F75" s="187"/>
      <c r="G75" s="187"/>
      <c r="H75" s="187"/>
      <c r="I75" s="187"/>
      <c r="J75" s="187"/>
      <c r="K75" s="187"/>
      <c r="L75" s="340">
        <f t="shared" si="11"/>
        <v>0</v>
      </c>
    </row>
    <row r="76" spans="1:12" s="321" customFormat="1" ht="15.6" x14ac:dyDescent="0.3">
      <c r="A76" s="186"/>
      <c r="B76" s="186"/>
      <c r="C76" s="187"/>
      <c r="D76" s="187"/>
      <c r="E76" s="340">
        <f t="shared" si="10"/>
        <v>0</v>
      </c>
      <c r="F76" s="187"/>
      <c r="G76" s="187"/>
      <c r="H76" s="187"/>
      <c r="I76" s="187"/>
      <c r="J76" s="187"/>
      <c r="K76" s="187"/>
      <c r="L76" s="340">
        <f t="shared" si="11"/>
        <v>0</v>
      </c>
    </row>
    <row r="77" spans="1:12" s="321" customFormat="1" ht="15.6" x14ac:dyDescent="0.3">
      <c r="A77" s="186"/>
      <c r="B77" s="186"/>
      <c r="C77" s="187"/>
      <c r="D77" s="187"/>
      <c r="E77" s="340">
        <f t="shared" si="10"/>
        <v>0</v>
      </c>
      <c r="F77" s="187"/>
      <c r="G77" s="187"/>
      <c r="H77" s="187"/>
      <c r="I77" s="187"/>
      <c r="J77" s="187"/>
      <c r="K77" s="187"/>
      <c r="L77" s="340">
        <f t="shared" si="11"/>
        <v>0</v>
      </c>
    </row>
    <row r="78" spans="1:12" ht="15.6" x14ac:dyDescent="0.2">
      <c r="A78" s="74"/>
      <c r="B78" s="76"/>
      <c r="C78" s="21"/>
      <c r="D78" s="21"/>
      <c r="E78" s="340">
        <f t="shared" si="10"/>
        <v>0</v>
      </c>
      <c r="F78" s="21"/>
      <c r="G78" s="21"/>
      <c r="H78" s="21"/>
      <c r="I78" s="21"/>
      <c r="J78" s="21"/>
      <c r="K78" s="21"/>
      <c r="L78" s="340">
        <f t="shared" si="11"/>
        <v>0</v>
      </c>
    </row>
    <row r="79" spans="1:12" ht="15.6" x14ac:dyDescent="0.2">
      <c r="A79" s="74"/>
      <c r="B79" s="76"/>
      <c r="C79" s="21"/>
      <c r="D79" s="21"/>
      <c r="E79" s="340">
        <f t="shared" si="10"/>
        <v>0</v>
      </c>
      <c r="F79" s="21"/>
      <c r="G79" s="21"/>
      <c r="H79" s="21"/>
      <c r="I79" s="21"/>
      <c r="J79" s="21"/>
      <c r="K79" s="21"/>
      <c r="L79" s="340">
        <f t="shared" si="11"/>
        <v>0</v>
      </c>
    </row>
    <row r="80" spans="1:12" ht="15.6" x14ac:dyDescent="0.2">
      <c r="A80" s="74"/>
      <c r="B80" s="76"/>
      <c r="C80" s="21"/>
      <c r="D80" s="21"/>
      <c r="E80" s="340">
        <f t="shared" si="10"/>
        <v>0</v>
      </c>
      <c r="F80" s="21"/>
      <c r="G80" s="21"/>
      <c r="H80" s="21"/>
      <c r="I80" s="21"/>
      <c r="J80" s="21"/>
      <c r="K80" s="21"/>
      <c r="L80" s="340">
        <f t="shared" si="11"/>
        <v>0</v>
      </c>
    </row>
    <row r="81" spans="1:12" ht="15.6" x14ac:dyDescent="0.2">
      <c r="A81" s="74"/>
      <c r="B81" s="76"/>
      <c r="C81" s="21"/>
      <c r="D81" s="21"/>
      <c r="E81" s="340">
        <f t="shared" si="10"/>
        <v>0</v>
      </c>
      <c r="F81" s="21"/>
      <c r="G81" s="21"/>
      <c r="H81" s="21"/>
      <c r="I81" s="21"/>
      <c r="J81" s="21"/>
      <c r="K81" s="21"/>
      <c r="L81" s="340">
        <f t="shared" si="11"/>
        <v>0</v>
      </c>
    </row>
    <row r="82" spans="1:12" ht="15.6" x14ac:dyDescent="0.2">
      <c r="A82" s="74"/>
      <c r="B82" s="76"/>
      <c r="C82" s="21"/>
      <c r="D82" s="21"/>
      <c r="E82" s="340">
        <f t="shared" si="10"/>
        <v>0</v>
      </c>
      <c r="F82" s="21"/>
      <c r="G82" s="21"/>
      <c r="H82" s="21"/>
      <c r="I82" s="21"/>
      <c r="J82" s="21"/>
      <c r="K82" s="21"/>
      <c r="L82" s="340">
        <f t="shared" si="11"/>
        <v>0</v>
      </c>
    </row>
    <row r="83" spans="1:12" ht="15.6" x14ac:dyDescent="0.2">
      <c r="A83" s="74"/>
      <c r="B83" s="76"/>
      <c r="C83" s="21"/>
      <c r="D83" s="21"/>
      <c r="E83" s="340">
        <f t="shared" si="10"/>
        <v>0</v>
      </c>
      <c r="F83" s="21"/>
      <c r="G83" s="21"/>
      <c r="H83" s="21"/>
      <c r="I83" s="21"/>
      <c r="J83" s="21"/>
      <c r="K83" s="21"/>
      <c r="L83" s="340">
        <f t="shared" si="11"/>
        <v>0</v>
      </c>
    </row>
    <row r="84" spans="1:12" ht="15.6" x14ac:dyDescent="0.2">
      <c r="A84" s="74"/>
      <c r="B84" s="76"/>
      <c r="C84" s="21"/>
      <c r="D84" s="21"/>
      <c r="E84" s="340">
        <f>SUM(C84:D84)</f>
        <v>0</v>
      </c>
      <c r="F84" s="21"/>
      <c r="G84" s="21"/>
      <c r="H84" s="21"/>
      <c r="I84" s="21"/>
      <c r="J84" s="21"/>
      <c r="K84" s="21"/>
      <c r="L84" s="340">
        <f>SUM(F84:K84)</f>
        <v>0</v>
      </c>
    </row>
    <row r="85" spans="1:12" ht="16.2" thickBot="1" x14ac:dyDescent="0.25">
      <c r="A85" s="336" t="s">
        <v>295</v>
      </c>
      <c r="B85" s="337">
        <f>SUM(B27:B84)</f>
        <v>386.40000000000003</v>
      </c>
      <c r="C85" s="338">
        <f>SUM(C27:C84)</f>
        <v>21618653</v>
      </c>
      <c r="D85" s="338">
        <f t="shared" ref="D85:L85" si="12">SUM(D27:D84)</f>
        <v>14947686</v>
      </c>
      <c r="E85" s="338">
        <f t="shared" si="12"/>
        <v>36566339</v>
      </c>
      <c r="F85" s="338">
        <f t="shared" si="12"/>
        <v>476653.57</v>
      </c>
      <c r="G85" s="338">
        <f t="shared" si="12"/>
        <v>164606.30000000002</v>
      </c>
      <c r="H85" s="338">
        <f t="shared" si="12"/>
        <v>5969889.7891270854</v>
      </c>
      <c r="I85" s="338">
        <f t="shared" si="12"/>
        <v>24423974.28373757</v>
      </c>
      <c r="J85" s="338">
        <f t="shared" si="12"/>
        <v>2637649.2702303561</v>
      </c>
      <c r="K85" s="338">
        <f t="shared" si="12"/>
        <v>2893565.1602933723</v>
      </c>
      <c r="L85" s="338">
        <f t="shared" si="12"/>
        <v>36566338.373388372</v>
      </c>
    </row>
    <row r="86" spans="1:12" s="323" customFormat="1" ht="16.2" thickTop="1" x14ac:dyDescent="0.3">
      <c r="A86" s="344" t="s">
        <v>158</v>
      </c>
      <c r="B86" s="345">
        <f>B23+B85</f>
        <v>394.40000000000003</v>
      </c>
      <c r="C86" s="343">
        <f>C23+C85</f>
        <v>22248787.440000001</v>
      </c>
      <c r="D86" s="343">
        <f t="shared" ref="D86:L86" si="13">D23+D85</f>
        <v>15347054</v>
      </c>
      <c r="E86" s="343">
        <f t="shared" si="13"/>
        <v>37595841.439999998</v>
      </c>
      <c r="F86" s="343">
        <f t="shared" si="13"/>
        <v>504630.97000000003</v>
      </c>
      <c r="G86" s="343">
        <f t="shared" si="13"/>
        <v>164606.30000000002</v>
      </c>
      <c r="H86" s="343">
        <f t="shared" si="13"/>
        <v>6034645.3291270854</v>
      </c>
      <c r="I86" s="343">
        <f t="shared" si="13"/>
        <v>25288491.982218724</v>
      </c>
      <c r="J86" s="343">
        <f t="shared" si="13"/>
        <v>2670166.435113837</v>
      </c>
      <c r="K86" s="343">
        <f t="shared" si="13"/>
        <v>2933299.8585287379</v>
      </c>
      <c r="L86" s="343">
        <f t="shared" si="13"/>
        <v>37595840.87498837</v>
      </c>
    </row>
  </sheetData>
  <sheetProtection password="CC72" sheet="1" objects="1" scenarios="1" selectLockedCells="1"/>
  <protectedRanges>
    <protectedRange sqref="A2:B2 B8:D14 A9:A14 A15:D22 F8:K22 A78:D84 F78:K84" name="Range1"/>
  </protectedRanges>
  <mergeCells count="5">
    <mergeCell ref="A1:B1"/>
    <mergeCell ref="A3:C3"/>
    <mergeCell ref="F25:K25"/>
    <mergeCell ref="F5:K5"/>
    <mergeCell ref="D1:I2"/>
  </mergeCells>
  <phoneticPr fontId="5" type="noConversion"/>
  <printOptions horizontalCentered="1" verticalCentered="1"/>
  <pageMargins left="0" right="0" top="0" bottom="0.5" header="0.19" footer="0.2"/>
  <pageSetup scale="72" fitToHeight="2" orientation="landscape" r:id="rId1"/>
  <headerFooter alignWithMargins="0">
    <oddFooter>&amp;L&amp;A&amp;CDate Printed:  &amp;D                                                                 &amp;R&amp;P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F34"/>
  <sheetViews>
    <sheetView showWhiteSpace="0" topLeftCell="A4" zoomScaleNormal="100" zoomScaleSheetLayoutView="75" zoomScalePageLayoutView="75" workbookViewId="0">
      <selection activeCell="A27" sqref="A27"/>
    </sheetView>
  </sheetViews>
  <sheetFormatPr defaultColWidth="9.125" defaultRowHeight="17.399999999999999" x14ac:dyDescent="0.2"/>
  <cols>
    <col min="1" max="1" width="48.875" style="93" customWidth="1"/>
    <col min="2" max="2" width="15.125" style="93" customWidth="1"/>
    <col min="3" max="3" width="52.75" style="93" customWidth="1"/>
    <col min="4" max="4" width="2.875" style="93" customWidth="1"/>
    <col min="5" max="5" width="45.75" style="93" customWidth="1"/>
    <col min="6" max="6" width="14.75" style="93" customWidth="1"/>
    <col min="7" max="16384" width="9.125" style="93"/>
  </cols>
  <sheetData>
    <row r="1" spans="1:6" ht="12.75" customHeight="1" x14ac:dyDescent="0.2">
      <c r="A1" s="116"/>
      <c r="B1" s="438"/>
      <c r="C1" s="438"/>
      <c r="D1" s="439"/>
      <c r="E1" s="439"/>
      <c r="F1" s="439"/>
    </row>
    <row r="2" spans="1:6" x14ac:dyDescent="0.2">
      <c r="A2" s="116"/>
      <c r="B2" s="438"/>
      <c r="C2" s="438"/>
      <c r="D2" s="439"/>
      <c r="E2" s="439"/>
      <c r="F2" s="439"/>
    </row>
    <row r="3" spans="1:6" ht="22.5" customHeight="1" x14ac:dyDescent="0.3">
      <c r="A3" s="121" t="s">
        <v>283</v>
      </c>
      <c r="B3" s="438"/>
      <c r="C3" s="438"/>
      <c r="D3" s="439"/>
      <c r="E3" s="439"/>
      <c r="F3" s="439"/>
    </row>
    <row r="4" spans="1:6" ht="19.5" customHeight="1" x14ac:dyDescent="0.3">
      <c r="A4" s="117" t="str">
        <f>Budget!A2</f>
        <v>Multnomah County Aging, Disability &amp; Veterans Services Dept (MCADVSD)</v>
      </c>
      <c r="B4" s="118"/>
      <c r="C4" s="120"/>
      <c r="D4" s="167"/>
      <c r="E4" s="167"/>
      <c r="F4" s="168"/>
    </row>
    <row r="5" spans="1:6" ht="19.5" customHeight="1" x14ac:dyDescent="0.35">
      <c r="A5" s="440" t="str">
        <f>Budget!A3</f>
        <v>BUDGET PERIOD:  7.1.2017 - 6.30.2018  Area Plan Year 2</v>
      </c>
      <c r="B5" s="440"/>
      <c r="C5" s="120"/>
      <c r="D5" s="167"/>
      <c r="E5" s="138"/>
      <c r="F5" s="136"/>
    </row>
    <row r="6" spans="1:6" ht="23.25" customHeight="1" thickBot="1" x14ac:dyDescent="0.35">
      <c r="A6" s="139"/>
      <c r="B6" s="128" t="s">
        <v>122</v>
      </c>
      <c r="C6" s="129" t="s">
        <v>123</v>
      </c>
      <c r="D6" s="167"/>
      <c r="E6" s="164" t="s">
        <v>124</v>
      </c>
      <c r="F6" s="163" t="s">
        <v>125</v>
      </c>
    </row>
    <row r="7" spans="1:6" s="95" customFormat="1" ht="72" customHeight="1" x14ac:dyDescent="0.3">
      <c r="A7" s="140" t="s">
        <v>217</v>
      </c>
      <c r="B7" s="141" t="s">
        <v>236</v>
      </c>
      <c r="C7" s="142" t="s">
        <v>212</v>
      </c>
      <c r="E7" s="169" t="s">
        <v>260</v>
      </c>
      <c r="F7" s="170" t="s">
        <v>257</v>
      </c>
    </row>
    <row r="8" spans="1:6" s="95" customFormat="1" ht="21" customHeight="1" x14ac:dyDescent="0.35">
      <c r="A8" s="151" t="s">
        <v>213</v>
      </c>
      <c r="B8" s="390">
        <v>10.26</v>
      </c>
      <c r="C8" s="143" t="s">
        <v>349</v>
      </c>
      <c r="E8" s="173"/>
      <c r="F8" s="147"/>
    </row>
    <row r="9" spans="1:6" s="95" customFormat="1" ht="21" customHeight="1" x14ac:dyDescent="0.35">
      <c r="A9" s="151" t="s">
        <v>193</v>
      </c>
      <c r="B9" s="390">
        <v>28.35</v>
      </c>
      <c r="C9" s="143" t="s">
        <v>350</v>
      </c>
      <c r="E9" s="174"/>
      <c r="F9" s="147"/>
    </row>
    <row r="10" spans="1:6" s="95" customFormat="1" ht="21" customHeight="1" x14ac:dyDescent="0.35">
      <c r="A10" s="152" t="s">
        <v>211</v>
      </c>
      <c r="B10" s="390">
        <v>8.84</v>
      </c>
      <c r="C10" s="143"/>
      <c r="E10" s="174"/>
      <c r="F10" s="147"/>
    </row>
    <row r="11" spans="1:6" s="95" customFormat="1" ht="21" customHeight="1" x14ac:dyDescent="0.35">
      <c r="A11" s="151" t="s">
        <v>288</v>
      </c>
      <c r="B11" s="390">
        <v>2</v>
      </c>
      <c r="C11" s="143"/>
      <c r="E11" s="174"/>
      <c r="F11" s="148"/>
    </row>
    <row r="12" spans="1:6" s="95" customFormat="1" ht="21" customHeight="1" x14ac:dyDescent="0.35">
      <c r="A12" s="151" t="s">
        <v>285</v>
      </c>
      <c r="B12" s="390">
        <v>20.91</v>
      </c>
      <c r="C12" s="143" t="s">
        <v>351</v>
      </c>
      <c r="E12" s="174"/>
      <c r="F12" s="147"/>
    </row>
    <row r="13" spans="1:6" s="95" customFormat="1" ht="21" customHeight="1" x14ac:dyDescent="0.35">
      <c r="A13" s="151" t="s">
        <v>289</v>
      </c>
      <c r="B13" s="390">
        <v>116</v>
      </c>
      <c r="C13" s="143" t="s">
        <v>352</v>
      </c>
      <c r="E13" s="174"/>
      <c r="F13" s="147"/>
    </row>
    <row r="14" spans="1:6" s="95" customFormat="1" ht="21" customHeight="1" x14ac:dyDescent="0.35">
      <c r="A14" s="151" t="s">
        <v>192</v>
      </c>
      <c r="B14" s="390">
        <v>70</v>
      </c>
      <c r="C14" s="143" t="s">
        <v>353</v>
      </c>
      <c r="D14" s="113"/>
      <c r="E14" s="174"/>
      <c r="F14" s="147"/>
    </row>
    <row r="15" spans="1:6" s="95" customFormat="1" ht="21" customHeight="1" x14ac:dyDescent="0.35">
      <c r="A15" s="151" t="s">
        <v>191</v>
      </c>
      <c r="B15" s="390">
        <v>45.2</v>
      </c>
      <c r="C15" s="143" t="s">
        <v>359</v>
      </c>
      <c r="E15" s="174"/>
      <c r="F15" s="147"/>
    </row>
    <row r="16" spans="1:6" s="95" customFormat="1" ht="21" customHeight="1" x14ac:dyDescent="0.35">
      <c r="A16" s="152" t="s">
        <v>210</v>
      </c>
      <c r="B16" s="130"/>
      <c r="C16" s="143"/>
      <c r="E16" s="174"/>
      <c r="F16" s="147"/>
    </row>
    <row r="17" spans="1:6" s="95" customFormat="1" ht="21" customHeight="1" x14ac:dyDescent="0.35">
      <c r="A17" s="151" t="s">
        <v>348</v>
      </c>
      <c r="B17" s="390">
        <v>6</v>
      </c>
      <c r="C17" s="143" t="s">
        <v>354</v>
      </c>
      <c r="E17" s="174"/>
      <c r="F17" s="147"/>
    </row>
    <row r="18" spans="1:6" s="95" customFormat="1" ht="21" customHeight="1" x14ac:dyDescent="0.35">
      <c r="A18" s="151" t="s">
        <v>194</v>
      </c>
      <c r="B18" s="390">
        <v>15.98</v>
      </c>
      <c r="C18" s="143" t="s">
        <v>355</v>
      </c>
      <c r="E18" s="174"/>
      <c r="F18" s="147"/>
    </row>
    <row r="19" spans="1:6" s="95" customFormat="1" ht="21" customHeight="1" x14ac:dyDescent="0.35">
      <c r="A19" s="151" t="s">
        <v>214</v>
      </c>
      <c r="B19" s="390">
        <v>7.72</v>
      </c>
      <c r="C19" s="143" t="s">
        <v>356</v>
      </c>
      <c r="E19" s="174"/>
      <c r="F19" s="147"/>
    </row>
    <row r="20" spans="1:6" s="95" customFormat="1" ht="21" customHeight="1" x14ac:dyDescent="0.35">
      <c r="A20" s="151" t="s">
        <v>215</v>
      </c>
      <c r="B20" s="390">
        <v>2.93</v>
      </c>
      <c r="C20" s="143" t="s">
        <v>357</v>
      </c>
      <c r="E20" s="174"/>
      <c r="F20" s="147"/>
    </row>
    <row r="21" spans="1:6" s="95" customFormat="1" ht="21" customHeight="1" x14ac:dyDescent="0.35">
      <c r="A21" s="151" t="s">
        <v>216</v>
      </c>
      <c r="B21" s="391">
        <v>0.88</v>
      </c>
      <c r="C21" s="143" t="s">
        <v>358</v>
      </c>
      <c r="E21" s="174"/>
      <c r="F21" s="148"/>
    </row>
    <row r="22" spans="1:6" s="95" customFormat="1" ht="21" customHeight="1" thickBot="1" x14ac:dyDescent="0.4">
      <c r="A22" s="153" t="s">
        <v>290</v>
      </c>
      <c r="B22" s="390">
        <v>4</v>
      </c>
      <c r="C22" s="146"/>
      <c r="E22" s="174"/>
      <c r="F22" s="149"/>
    </row>
    <row r="23" spans="1:6" s="95" customFormat="1" ht="21" customHeight="1" x14ac:dyDescent="0.35">
      <c r="A23" s="133"/>
      <c r="B23" s="136"/>
      <c r="C23" s="138"/>
      <c r="E23" s="174"/>
      <c r="F23" s="149"/>
    </row>
    <row r="24" spans="1:6" s="95" customFormat="1" ht="21" customHeight="1" x14ac:dyDescent="0.35">
      <c r="A24" s="133"/>
      <c r="B24" s="136"/>
      <c r="C24" s="138"/>
      <c r="E24" s="174"/>
      <c r="F24" s="149"/>
    </row>
    <row r="25" spans="1:6" s="95" customFormat="1" ht="21" customHeight="1" x14ac:dyDescent="0.35">
      <c r="B25" s="136"/>
      <c r="C25" s="138"/>
      <c r="E25" s="174"/>
      <c r="F25" s="149"/>
    </row>
    <row r="26" spans="1:6" s="95" customFormat="1" ht="21" customHeight="1" x14ac:dyDescent="0.35">
      <c r="B26" s="136"/>
      <c r="C26" s="138"/>
      <c r="E26" s="174"/>
      <c r="F26" s="149"/>
    </row>
    <row r="27" spans="1:6" s="95" customFormat="1" ht="21" customHeight="1" x14ac:dyDescent="0.35">
      <c r="B27" s="136"/>
      <c r="C27" s="138"/>
      <c r="E27" s="174"/>
      <c r="F27" s="149"/>
    </row>
    <row r="28" spans="1:6" s="95" customFormat="1" ht="21" customHeight="1" x14ac:dyDescent="0.35">
      <c r="B28" s="136"/>
      <c r="C28" s="138"/>
      <c r="E28" s="174"/>
      <c r="F28" s="149"/>
    </row>
    <row r="29" spans="1:6" s="95" customFormat="1" ht="21" customHeight="1" x14ac:dyDescent="0.35">
      <c r="B29" s="136"/>
      <c r="C29" s="138"/>
      <c r="E29" s="174"/>
      <c r="F29" s="149"/>
    </row>
    <row r="30" spans="1:6" s="95" customFormat="1" ht="21" customHeight="1" x14ac:dyDescent="0.35">
      <c r="B30" s="136"/>
      <c r="C30" s="138"/>
      <c r="E30" s="174"/>
      <c r="F30" s="149"/>
    </row>
    <row r="31" spans="1:6" s="95" customFormat="1" ht="21" customHeight="1" x14ac:dyDescent="0.35">
      <c r="B31" s="136"/>
      <c r="C31" s="138"/>
      <c r="E31" s="174"/>
      <c r="F31" s="149"/>
    </row>
    <row r="32" spans="1:6" s="95" customFormat="1" ht="21" customHeight="1" x14ac:dyDescent="0.35">
      <c r="B32" s="136"/>
      <c r="C32" s="138"/>
      <c r="E32" s="174"/>
      <c r="F32" s="149"/>
    </row>
    <row r="33" spans="2:6" ht="21" customHeight="1" thickBot="1" x14ac:dyDescent="0.4">
      <c r="B33" s="94"/>
      <c r="C33" s="94"/>
      <c r="E33" s="175"/>
      <c r="F33" s="150"/>
    </row>
    <row r="34" spans="2:6" ht="15.9" customHeight="1" x14ac:dyDescent="0.2">
      <c r="B34" s="94"/>
      <c r="C34" s="94"/>
    </row>
  </sheetData>
  <sheetProtection selectLockedCells="1"/>
  <mergeCells count="2">
    <mergeCell ref="B1:F3"/>
    <mergeCell ref="A5:B5"/>
  </mergeCells>
  <printOptions verticalCentered="1"/>
  <pageMargins left="0" right="0" top="0" bottom="0.5" header="0.19" footer="0.2"/>
  <pageSetup scale="85" orientation="landscape" r:id="rId1"/>
  <headerFooter alignWithMargins="0">
    <oddFooter>&amp;L&amp;A&amp;CDate Printed:  &amp;D                                                                 &amp;R&amp;P of &amp;N</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1:H33"/>
  <sheetViews>
    <sheetView showWhiteSpace="0" topLeftCell="A4" zoomScale="65" zoomScaleNormal="65" zoomScaleSheetLayoutView="75" zoomScalePageLayoutView="75" workbookViewId="0">
      <selection activeCell="D24" sqref="D24"/>
    </sheetView>
  </sheetViews>
  <sheetFormatPr defaultColWidth="9.125" defaultRowHeight="17.399999999999999" x14ac:dyDescent="0.2"/>
  <cols>
    <col min="1" max="1" width="48.875" style="93" customWidth="1"/>
    <col min="2" max="2" width="15" style="93" customWidth="1"/>
    <col min="3" max="3" width="15.125" style="93" customWidth="1"/>
    <col min="4" max="4" width="13.375" style="93" customWidth="1"/>
    <col min="5" max="5" width="45.75" style="93" customWidth="1"/>
    <col min="6" max="6" width="2.875" style="93" customWidth="1"/>
    <col min="7" max="7" width="45.75" style="93" customWidth="1"/>
    <col min="8" max="8" width="14.75" style="93" customWidth="1"/>
    <col min="9" max="16384" width="9.125" style="93"/>
  </cols>
  <sheetData>
    <row r="1" spans="1:8" ht="12.75" customHeight="1" x14ac:dyDescent="0.2">
      <c r="A1" s="116"/>
      <c r="B1" s="441" t="s">
        <v>259</v>
      </c>
      <c r="C1" s="438"/>
      <c r="D1" s="438"/>
      <c r="E1" s="438"/>
      <c r="F1" s="439"/>
      <c r="G1" s="439"/>
      <c r="H1" s="439"/>
    </row>
    <row r="2" spans="1:8" x14ac:dyDescent="0.2">
      <c r="A2" s="116"/>
      <c r="B2" s="438"/>
      <c r="C2" s="438"/>
      <c r="D2" s="438"/>
      <c r="E2" s="438"/>
      <c r="F2" s="439"/>
      <c r="G2" s="439"/>
      <c r="H2" s="439"/>
    </row>
    <row r="3" spans="1:8" ht="22.5" customHeight="1" x14ac:dyDescent="0.3">
      <c r="A3" s="121" t="s">
        <v>283</v>
      </c>
      <c r="B3" s="438"/>
      <c r="C3" s="438"/>
      <c r="D3" s="438"/>
      <c r="E3" s="438"/>
      <c r="F3" s="439"/>
      <c r="G3" s="439"/>
      <c r="H3" s="439"/>
    </row>
    <row r="4" spans="1:8" ht="19.5" customHeight="1" x14ac:dyDescent="0.3">
      <c r="A4" s="117" t="str">
        <f>Budget!A2</f>
        <v>Multnomah County Aging, Disability &amp; Veterans Services Dept (MCADVSD)</v>
      </c>
      <c r="B4" s="118"/>
      <c r="C4" s="118"/>
      <c r="D4" s="119"/>
      <c r="E4" s="120"/>
      <c r="F4" s="167"/>
      <c r="G4" s="167"/>
      <c r="H4" s="168"/>
    </row>
    <row r="5" spans="1:8" ht="19.5" customHeight="1" x14ac:dyDescent="0.35">
      <c r="A5" s="440" t="str">
        <f>Budget!A3</f>
        <v>BUDGET PERIOD:  7.1.2017 - 6.30.2018  Area Plan Year 2</v>
      </c>
      <c r="B5" s="440"/>
      <c r="C5" s="440"/>
      <c r="D5" s="440"/>
      <c r="E5" s="120"/>
      <c r="F5" s="167"/>
      <c r="G5" s="138"/>
      <c r="H5" s="136"/>
    </row>
    <row r="6" spans="1:8" ht="23.25" customHeight="1" thickBot="1" x14ac:dyDescent="0.35">
      <c r="A6" s="139"/>
      <c r="B6" s="128" t="s">
        <v>122</v>
      </c>
      <c r="C6" s="128" t="s">
        <v>123</v>
      </c>
      <c r="D6" s="129" t="s">
        <v>124</v>
      </c>
      <c r="E6" s="129" t="s">
        <v>125</v>
      </c>
      <c r="F6" s="167"/>
      <c r="G6" s="164" t="s">
        <v>126</v>
      </c>
      <c r="H6" s="163" t="s">
        <v>127</v>
      </c>
    </row>
    <row r="7" spans="1:8" s="95" customFormat="1" ht="72" customHeight="1" x14ac:dyDescent="0.3">
      <c r="A7" s="140" t="s">
        <v>217</v>
      </c>
      <c r="B7" s="141" t="s">
        <v>235</v>
      </c>
      <c r="C7" s="141" t="s">
        <v>236</v>
      </c>
      <c r="D7" s="141" t="s">
        <v>234</v>
      </c>
      <c r="E7" s="142" t="s">
        <v>212</v>
      </c>
      <c r="G7" s="169" t="s">
        <v>260</v>
      </c>
      <c r="H7" s="170" t="s">
        <v>257</v>
      </c>
    </row>
    <row r="8" spans="1:8" s="95" customFormat="1" ht="21" customHeight="1" x14ac:dyDescent="0.35">
      <c r="A8" s="151" t="s">
        <v>213</v>
      </c>
      <c r="B8" s="134"/>
      <c r="C8" s="130"/>
      <c r="D8" s="134"/>
      <c r="E8" s="143"/>
      <c r="G8" s="173"/>
      <c r="H8" s="147"/>
    </row>
    <row r="9" spans="1:8" s="95" customFormat="1" ht="21" customHeight="1" x14ac:dyDescent="0.35">
      <c r="A9" s="151" t="s">
        <v>193</v>
      </c>
      <c r="B9" s="135"/>
      <c r="C9" s="131"/>
      <c r="D9" s="134"/>
      <c r="E9" s="143"/>
      <c r="G9" s="174"/>
      <c r="H9" s="147"/>
    </row>
    <row r="10" spans="1:8" s="95" customFormat="1" ht="21" customHeight="1" x14ac:dyDescent="0.35">
      <c r="A10" s="152" t="s">
        <v>211</v>
      </c>
      <c r="B10" s="134"/>
      <c r="C10" s="130"/>
      <c r="D10" s="134"/>
      <c r="E10" s="143"/>
      <c r="G10" s="174"/>
      <c r="H10" s="147"/>
    </row>
    <row r="11" spans="1:8" s="95" customFormat="1" ht="21" customHeight="1" x14ac:dyDescent="0.35">
      <c r="A11" s="151" t="s">
        <v>284</v>
      </c>
      <c r="B11" s="130"/>
      <c r="C11" s="130"/>
      <c r="D11" s="130"/>
      <c r="E11" s="143"/>
      <c r="G11" s="174"/>
      <c r="H11" s="148"/>
    </row>
    <row r="12" spans="1:8" s="95" customFormat="1" ht="21" customHeight="1" x14ac:dyDescent="0.35">
      <c r="A12" s="151" t="s">
        <v>285</v>
      </c>
      <c r="B12" s="134"/>
      <c r="C12" s="130"/>
      <c r="D12" s="134"/>
      <c r="E12" s="143"/>
      <c r="G12" s="174"/>
      <c r="H12" s="147"/>
    </row>
    <row r="13" spans="1:8" s="95" customFormat="1" ht="21" customHeight="1" x14ac:dyDescent="0.35">
      <c r="A13" s="151" t="s">
        <v>286</v>
      </c>
      <c r="B13" s="130"/>
      <c r="C13" s="130"/>
      <c r="D13" s="130"/>
      <c r="E13" s="143"/>
      <c r="G13" s="174"/>
      <c r="H13" s="147"/>
    </row>
    <row r="14" spans="1:8" s="95" customFormat="1" ht="21" customHeight="1" x14ac:dyDescent="0.35">
      <c r="A14" s="151" t="s">
        <v>192</v>
      </c>
      <c r="B14" s="135"/>
      <c r="C14" s="131"/>
      <c r="D14" s="134"/>
      <c r="E14" s="143"/>
      <c r="F14" s="113"/>
      <c r="G14" s="174"/>
      <c r="H14" s="147"/>
    </row>
    <row r="15" spans="1:8" s="95" customFormat="1" ht="21" customHeight="1" x14ac:dyDescent="0.35">
      <c r="A15" s="151" t="s">
        <v>191</v>
      </c>
      <c r="B15" s="134"/>
      <c r="C15" s="130"/>
      <c r="D15" s="134"/>
      <c r="E15" s="143"/>
      <c r="G15" s="174"/>
      <c r="H15" s="147"/>
    </row>
    <row r="16" spans="1:8" s="95" customFormat="1" ht="21" customHeight="1" x14ac:dyDescent="0.35">
      <c r="A16" s="152" t="s">
        <v>210</v>
      </c>
      <c r="B16" s="134"/>
      <c r="C16" s="130"/>
      <c r="D16" s="134"/>
      <c r="E16" s="143"/>
      <c r="G16" s="174"/>
      <c r="H16" s="147"/>
    </row>
    <row r="17" spans="1:8" s="95" customFormat="1" ht="21" customHeight="1" x14ac:dyDescent="0.35">
      <c r="A17" s="151" t="s">
        <v>194</v>
      </c>
      <c r="B17" s="134"/>
      <c r="C17" s="130"/>
      <c r="D17" s="134"/>
      <c r="E17" s="143"/>
      <c r="G17" s="174"/>
      <c r="H17" s="147"/>
    </row>
    <row r="18" spans="1:8" s="95" customFormat="1" ht="21" customHeight="1" x14ac:dyDescent="0.35">
      <c r="A18" s="151" t="s">
        <v>214</v>
      </c>
      <c r="B18" s="134"/>
      <c r="C18" s="130"/>
      <c r="D18" s="134"/>
      <c r="E18" s="143"/>
      <c r="G18" s="174"/>
      <c r="H18" s="147"/>
    </row>
    <row r="19" spans="1:8" s="95" customFormat="1" ht="21" customHeight="1" x14ac:dyDescent="0.35">
      <c r="A19" s="151" t="s">
        <v>215</v>
      </c>
      <c r="B19" s="135"/>
      <c r="C19" s="131"/>
      <c r="D19" s="134"/>
      <c r="E19" s="143"/>
      <c r="G19" s="174"/>
      <c r="H19" s="147"/>
    </row>
    <row r="20" spans="1:8" s="95" customFormat="1" ht="21" customHeight="1" x14ac:dyDescent="0.35">
      <c r="A20" s="151" t="s">
        <v>216</v>
      </c>
      <c r="B20" s="134"/>
      <c r="C20" s="132"/>
      <c r="D20" s="134"/>
      <c r="E20" s="143"/>
      <c r="G20" s="174"/>
      <c r="H20" s="148"/>
    </row>
    <row r="21" spans="1:8" s="95" customFormat="1" ht="21" customHeight="1" thickBot="1" x14ac:dyDescent="0.4">
      <c r="A21" s="153" t="s">
        <v>287</v>
      </c>
      <c r="B21" s="144"/>
      <c r="C21" s="144"/>
      <c r="D21" s="145"/>
      <c r="E21" s="146"/>
      <c r="G21" s="174"/>
      <c r="H21" s="149"/>
    </row>
    <row r="22" spans="1:8" s="95" customFormat="1" ht="21" customHeight="1" x14ac:dyDescent="0.35">
      <c r="A22" s="133" t="s">
        <v>255</v>
      </c>
      <c r="B22" s="136"/>
      <c r="C22" s="136"/>
      <c r="D22" s="137"/>
      <c r="E22" s="138"/>
      <c r="G22" s="174"/>
      <c r="H22" s="149"/>
    </row>
    <row r="23" spans="1:8" s="95" customFormat="1" ht="21" customHeight="1" x14ac:dyDescent="0.35">
      <c r="A23" s="133"/>
      <c r="B23" s="136"/>
      <c r="C23" s="136"/>
      <c r="D23" s="137"/>
      <c r="E23" s="138"/>
      <c r="G23" s="174"/>
      <c r="H23" s="149"/>
    </row>
    <row r="24" spans="1:8" s="95" customFormat="1" ht="21" customHeight="1" x14ac:dyDescent="0.35">
      <c r="C24" s="136"/>
      <c r="D24" s="137"/>
      <c r="E24" s="138"/>
      <c r="G24" s="174"/>
      <c r="H24" s="149"/>
    </row>
    <row r="25" spans="1:8" s="95" customFormat="1" ht="21" customHeight="1" x14ac:dyDescent="0.35">
      <c r="C25" s="136"/>
      <c r="D25" s="137"/>
      <c r="E25" s="138"/>
      <c r="G25" s="174"/>
      <c r="H25" s="149"/>
    </row>
    <row r="26" spans="1:8" s="95" customFormat="1" ht="21" customHeight="1" x14ac:dyDescent="0.35">
      <c r="C26" s="136"/>
      <c r="D26" s="137"/>
      <c r="E26" s="138"/>
      <c r="G26" s="174"/>
      <c r="H26" s="149"/>
    </row>
    <row r="27" spans="1:8" s="95" customFormat="1" ht="21" customHeight="1" x14ac:dyDescent="0.35">
      <c r="C27" s="136"/>
      <c r="D27" s="137"/>
      <c r="E27" s="138"/>
      <c r="G27" s="174"/>
      <c r="H27" s="149"/>
    </row>
    <row r="28" spans="1:8" s="95" customFormat="1" ht="21" customHeight="1" x14ac:dyDescent="0.35">
      <c r="C28" s="136"/>
      <c r="D28" s="137"/>
      <c r="E28" s="138"/>
      <c r="G28" s="174"/>
      <c r="H28" s="149"/>
    </row>
    <row r="29" spans="1:8" s="95" customFormat="1" ht="21" customHeight="1" x14ac:dyDescent="0.35">
      <c r="C29" s="136"/>
      <c r="D29" s="137"/>
      <c r="E29" s="138"/>
      <c r="G29" s="174"/>
      <c r="H29" s="149"/>
    </row>
    <row r="30" spans="1:8" s="95" customFormat="1" ht="21" customHeight="1" x14ac:dyDescent="0.35">
      <c r="C30" s="136"/>
      <c r="D30" s="137"/>
      <c r="E30" s="138"/>
      <c r="G30" s="174"/>
      <c r="H30" s="149"/>
    </row>
    <row r="31" spans="1:8" s="95" customFormat="1" ht="21" customHeight="1" x14ac:dyDescent="0.35">
      <c r="C31" s="136"/>
      <c r="D31" s="137"/>
      <c r="E31" s="138"/>
      <c r="G31" s="174"/>
      <c r="H31" s="149"/>
    </row>
    <row r="32" spans="1:8" ht="21" customHeight="1" thickBot="1" x14ac:dyDescent="0.4">
      <c r="C32" s="94"/>
      <c r="D32" s="94"/>
      <c r="E32" s="94"/>
      <c r="G32" s="175"/>
      <c r="H32" s="150"/>
    </row>
    <row r="33" spans="3:5" ht="15.9" customHeight="1" x14ac:dyDescent="0.2">
      <c r="C33" s="94"/>
      <c r="D33" s="94"/>
      <c r="E33" s="94"/>
    </row>
  </sheetData>
  <sheetProtection selectLockedCells="1"/>
  <mergeCells count="2">
    <mergeCell ref="A5:D5"/>
    <mergeCell ref="B1:H3"/>
  </mergeCells>
  <phoneticPr fontId="5" type="noConversion"/>
  <printOptions verticalCentered="1"/>
  <pageMargins left="0" right="0" top="0" bottom="0.5" header="0.19" footer="0.2"/>
  <pageSetup scale="74" orientation="landscape" r:id="rId1"/>
  <headerFooter alignWithMargins="0">
    <oddFooter>&amp;L&amp;A&amp;CDate Printed:  &amp;D                                                                 &amp;R&amp;P of &amp;N</oddFooter>
  </headerFooter>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3"/>
  <sheetViews>
    <sheetView workbookViewId="0"/>
  </sheetViews>
  <sheetFormatPr defaultColWidth="9" defaultRowHeight="17.399999999999999" x14ac:dyDescent="0.2"/>
  <cols>
    <col min="1" max="1" width="111.625" style="350" customWidth="1"/>
    <col min="2" max="2" width="76.75" style="350" customWidth="1"/>
    <col min="3" max="3" width="9.375" style="352" customWidth="1"/>
    <col min="4" max="16384" width="9" style="350"/>
  </cols>
  <sheetData>
    <row r="1" spans="1:5" s="346" customFormat="1" x14ac:dyDescent="0.3">
      <c r="A1" s="353" t="s">
        <v>224</v>
      </c>
      <c r="B1" s="354" t="s">
        <v>225</v>
      </c>
      <c r="C1" s="355"/>
      <c r="D1" s="356"/>
      <c r="E1" s="356"/>
    </row>
    <row r="2" spans="1:5" ht="22.8" x14ac:dyDescent="0.4">
      <c r="A2" s="357" t="s">
        <v>239</v>
      </c>
      <c r="B2" s="358" t="s">
        <v>226</v>
      </c>
      <c r="C2" s="359"/>
      <c r="D2" s="360"/>
      <c r="E2" s="360"/>
    </row>
    <row r="3" spans="1:5" ht="26.25" customHeight="1" x14ac:dyDescent="0.4">
      <c r="A3" s="357" t="s">
        <v>240</v>
      </c>
      <c r="B3" s="358" t="s">
        <v>227</v>
      </c>
      <c r="C3" s="359"/>
      <c r="D3" s="360"/>
      <c r="E3" s="360"/>
    </row>
    <row r="4" spans="1:5" ht="22.8" x14ac:dyDescent="0.4">
      <c r="A4" s="357" t="s">
        <v>241</v>
      </c>
      <c r="B4" s="358" t="s">
        <v>228</v>
      </c>
      <c r="C4" s="359"/>
      <c r="D4" s="360"/>
      <c r="E4" s="360"/>
    </row>
    <row r="5" spans="1:5" ht="22.8" x14ac:dyDescent="0.4">
      <c r="A5" s="357" t="s">
        <v>242</v>
      </c>
      <c r="B5" s="358" t="s">
        <v>229</v>
      </c>
      <c r="C5" s="359"/>
      <c r="D5" s="360"/>
      <c r="E5" s="360"/>
    </row>
    <row r="6" spans="1:5" ht="22.8" x14ac:dyDescent="0.4">
      <c r="A6" s="357" t="s">
        <v>299</v>
      </c>
      <c r="B6" s="358"/>
      <c r="C6" s="359"/>
      <c r="D6" s="360"/>
      <c r="E6" s="360"/>
    </row>
    <row r="7" spans="1:5" ht="22.8" x14ac:dyDescent="0.4">
      <c r="A7" s="357" t="s">
        <v>243</v>
      </c>
      <c r="B7" s="358"/>
      <c r="C7" s="359"/>
      <c r="D7" s="360"/>
      <c r="E7" s="360"/>
    </row>
    <row r="8" spans="1:5" ht="22.8" x14ac:dyDescent="0.4">
      <c r="A8" s="357" t="s">
        <v>244</v>
      </c>
      <c r="B8" s="358"/>
      <c r="C8" s="359"/>
      <c r="D8" s="360"/>
      <c r="E8" s="360"/>
    </row>
    <row r="9" spans="1:5" ht="22.8" x14ac:dyDescent="0.4">
      <c r="A9" s="357" t="s">
        <v>245</v>
      </c>
      <c r="B9" s="358"/>
      <c r="C9" s="359"/>
      <c r="D9" s="360"/>
      <c r="E9" s="360"/>
    </row>
    <row r="10" spans="1:5" ht="22.8" x14ac:dyDescent="0.4">
      <c r="A10" s="357" t="s">
        <v>246</v>
      </c>
      <c r="B10" s="358"/>
      <c r="C10" s="359"/>
      <c r="D10" s="360"/>
      <c r="E10" s="360"/>
    </row>
    <row r="11" spans="1:5" ht="22.8" x14ac:dyDescent="0.4">
      <c r="A11" s="357" t="s">
        <v>247</v>
      </c>
      <c r="B11" s="358"/>
      <c r="C11" s="359"/>
      <c r="D11" s="360"/>
      <c r="E11" s="360"/>
    </row>
    <row r="12" spans="1:5" ht="22.8" x14ac:dyDescent="0.4">
      <c r="A12" s="357" t="s">
        <v>248</v>
      </c>
      <c r="B12" s="358"/>
      <c r="C12" s="359"/>
      <c r="D12" s="360"/>
      <c r="E12" s="360"/>
    </row>
    <row r="13" spans="1:5" ht="22.8" x14ac:dyDescent="0.4">
      <c r="A13" s="357" t="s">
        <v>249</v>
      </c>
      <c r="B13" s="358"/>
      <c r="C13" s="359"/>
      <c r="D13" s="360"/>
      <c r="E13" s="360"/>
    </row>
    <row r="14" spans="1:5" ht="22.8" x14ac:dyDescent="0.4">
      <c r="A14" s="357" t="s">
        <v>250</v>
      </c>
      <c r="B14" s="358"/>
      <c r="C14" s="359"/>
      <c r="D14" s="360"/>
      <c r="E14" s="360"/>
    </row>
    <row r="15" spans="1:5" ht="22.8" x14ac:dyDescent="0.4">
      <c r="A15" s="357" t="s">
        <v>251</v>
      </c>
      <c r="B15" s="361"/>
      <c r="C15" s="359"/>
      <c r="D15" s="360"/>
      <c r="E15" s="360"/>
    </row>
    <row r="16" spans="1:5" ht="22.8" x14ac:dyDescent="0.4">
      <c r="A16" s="357" t="s">
        <v>252</v>
      </c>
      <c r="B16" s="358"/>
      <c r="C16" s="359"/>
      <c r="D16" s="360"/>
      <c r="E16" s="360"/>
    </row>
    <row r="17" spans="1:5" ht="22.8" x14ac:dyDescent="0.4">
      <c r="A17" s="357" t="s">
        <v>253</v>
      </c>
      <c r="B17" s="358"/>
      <c r="C17" s="359"/>
      <c r="D17" s="360"/>
      <c r="E17" s="360"/>
    </row>
    <row r="18" spans="1:5" ht="22.8" x14ac:dyDescent="0.4">
      <c r="A18" s="357" t="s">
        <v>254</v>
      </c>
      <c r="B18" s="358"/>
      <c r="C18" s="359"/>
      <c r="D18" s="360"/>
      <c r="E18" s="360"/>
    </row>
    <row r="19" spans="1:5" ht="22.8" x14ac:dyDescent="0.4">
      <c r="A19" s="347"/>
      <c r="B19" s="348"/>
      <c r="C19" s="349"/>
    </row>
    <row r="20" spans="1:5" ht="22.8" x14ac:dyDescent="0.2">
      <c r="A20" s="347"/>
      <c r="B20" s="347"/>
      <c r="C20" s="351"/>
    </row>
    <row r="21" spans="1:5" ht="22.8" x14ac:dyDescent="0.2">
      <c r="A21" s="347"/>
      <c r="B21" s="347"/>
      <c r="C21" s="351"/>
    </row>
    <row r="22" spans="1:5" ht="22.8" x14ac:dyDescent="0.2">
      <c r="A22" s="347"/>
      <c r="B22" s="347"/>
      <c r="C22" s="351"/>
    </row>
    <row r="23" spans="1:5" ht="22.8" x14ac:dyDescent="0.2">
      <c r="A23" s="347"/>
      <c r="B23" s="347"/>
      <c r="C23" s="351"/>
    </row>
  </sheetData>
  <sheetProtection password="CC72"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ff90a875-b49c-40de-9556-a35ae4f67e29">
      <Url>http://www.oregon.gov/DHS/SENIORS-DISABILITIES/SUA/AAABusinessTraining/AP-Budget-Workbook.xlsx</Url>
      <Description>AP Budget Workbook</Description>
    </Link>
    <URL xmlns="http://schemas.microsoft.com/sharepoint/v3">
      <Url xsi:nil="true"/>
      <Description xsi:nil="true"/>
    </URL>
    <Meta_x0020_Description xmlns="ff90a875-b49c-40de-9556-a35ae4f67e29">AP Budget Workbook</Meta_x0020_Description>
    <Meta_x0020_Keywords xmlns="ff90a875-b49c-40de-9556-a35ae4f67e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A9F1DCF914FB47BF3A6C25E3FA83C5" ma:contentTypeVersion="40" ma:contentTypeDescription="Create a new document." ma:contentTypeScope="" ma:versionID="3e1c4668c1ddfb47fd183b6fb4afde12">
  <xsd:schema xmlns:xsd="http://www.w3.org/2001/XMLSchema" xmlns:xs="http://www.w3.org/2001/XMLSchema" xmlns:p="http://schemas.microsoft.com/office/2006/metadata/properties" xmlns:ns1="http://schemas.microsoft.com/sharepoint/v3" xmlns:ns2="ff90a875-b49c-40de-9556-a35ae4f67e29" targetNamespace="http://schemas.microsoft.com/office/2006/metadata/properties" ma:root="true" ma:fieldsID="332baf504cbdede6575717e3b29f3760" ns1:_="" ns2:_="">
    <xsd:import namespace="http://schemas.microsoft.com/sharepoint/v3"/>
    <xsd:import namespace="ff90a875-b49c-40de-9556-a35ae4f67e29"/>
    <xsd:element name="properties">
      <xsd:complexType>
        <xsd:sequence>
          <xsd:element name="documentManagement">
            <xsd:complexType>
              <xsd:all>
                <xsd:element ref="ns2:Link" minOccurs="0"/>
                <xsd:element ref="ns2:Meta_x0020_Description" minOccurs="0"/>
                <xsd:element ref="ns2:Meta_x0020_Keywords"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90a875-b49c-40de-9556-a35ae4f67e29" elementFormDefault="qualified">
    <xsd:import namespace="http://schemas.microsoft.com/office/2006/documentManagement/types"/>
    <xsd:import namespace="http://schemas.microsoft.com/office/infopath/2007/PartnerControls"/>
    <xsd:element name="Link" ma:index="8" nillable="true" ma:displayName="Link" ma:description="Added column for Update Document URL reusable workflow." ma:format="Hyperlink" ma:hidden="true"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ta_x0020_Description" ma:index="9" nillable="true" ma:displayName="Meta Description" ma:internalName="Meta_x0020_Description">
      <xsd:simpleType>
        <xsd:restriction base="dms:Text">
          <xsd:maxLength value="255"/>
        </xsd:restriction>
      </xsd:simpleType>
    </xsd:element>
    <xsd:element name="Meta_x0020_Keywords" ma:index="10" nillable="true" ma:displayName="Meta Keywords" ma:internalName="Meta_x0020_Keyword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4164A0A-CADE-462D-8914-8FA2E4EADA44}">
  <ds:schemaRefs>
    <ds:schemaRef ds:uri="http://schemas.microsoft.com/sharepoint/v3/contenttype/forms"/>
  </ds:schemaRefs>
</ds:datastoreItem>
</file>

<file path=customXml/itemProps2.xml><?xml version="1.0" encoding="utf-8"?>
<ds:datastoreItem xmlns:ds="http://schemas.openxmlformats.org/officeDocument/2006/customXml" ds:itemID="{37D24496-9298-4587-B195-900BBA04512C}">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f90a875-b49c-40de-9556-a35ae4f67e29"/>
    <ds:schemaRef ds:uri="http://www.w3.org/XML/1998/namespace"/>
  </ds:schemaRefs>
</ds:datastoreItem>
</file>

<file path=customXml/itemProps3.xml><?xml version="1.0" encoding="utf-8"?>
<ds:datastoreItem xmlns:ds="http://schemas.openxmlformats.org/officeDocument/2006/customXml" ds:itemID="{472DD7C0-2364-4B9D-A0F1-112E1693E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90a875-b49c-40de-9556-a35ae4f67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5F7BAA-A65B-483E-A0ED-7FF3190B0EF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Instructions</vt:lpstr>
      <vt:lpstr>Budget</vt:lpstr>
      <vt:lpstr>Cash &amp; In-kind Match</vt:lpstr>
      <vt:lpstr>XIX-OAA-OPI Staffing Plan</vt:lpstr>
      <vt:lpstr>Allocated Medicaid Staff</vt:lpstr>
      <vt:lpstr>Allocated Medicaid Staffing</vt:lpstr>
      <vt:lpstr>Data Validation</vt:lpstr>
      <vt:lpstr>Budget!Print_Area</vt:lpstr>
      <vt:lpstr>'Form Instructions'!Print_Area</vt:lpstr>
      <vt:lpstr>'XIX-OAA-OPI Staffing Plan'!Print_Area</vt:lpstr>
      <vt:lpstr>Budget!Print_Titles</vt:lpstr>
      <vt:lpstr>'XIX-OAA-OPI Staffing Plan'!Print_Titles</vt:lpstr>
      <vt:lpstr>Select_AAA_Name</vt:lpstr>
      <vt:lpstr>Select_Budget_Period</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 Budget Workbook</dc:title>
  <dc:creator>DHS-OIS-NDS</dc:creator>
  <cp:lastModifiedBy>THIRUNI</cp:lastModifiedBy>
  <cp:lastPrinted>2017-12-18T19:36:39Z</cp:lastPrinted>
  <dcterms:created xsi:type="dcterms:W3CDTF">2011-12-01T00:02:33Z</dcterms:created>
  <dcterms:modified xsi:type="dcterms:W3CDTF">2018-09-21T19:26:27Z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40f221c8-4bdd-4680-868b-ea3c707004bb,5;40f221c8-4bdd-4680-868b-ea3c707004bb,6;</vt:lpwstr>
  </property>
  <property fmtid="{D5CDD505-2E9C-101B-9397-08002B2CF9AE}" pid="3" name="ContentTypeId">
    <vt:lpwstr>0x01010096A9F1DCF914FB47BF3A6C25E3FA83C5</vt:lpwstr>
  </property>
</Properties>
</file>